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omments1.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H:\Community Investment\Home Office\AHP Forms\Feasibility Workbooks\Rental Feasibility Workbook\"/>
    </mc:Choice>
  </mc:AlternateContent>
  <workbookProtection workbookPassword="C9A3" lockStructure="1"/>
  <bookViews>
    <workbookView xWindow="0" yWindow="0" windowWidth="11940" windowHeight="5070" tabRatio="917" firstSheet="2" activeTab="2"/>
  </bookViews>
  <sheets>
    <sheet name="UDA Documentation" sheetId="36" state="hidden" r:id="rId1"/>
    <sheet name="Change Control" sheetId="37" state="hidden" r:id="rId2"/>
    <sheet name="Project Info and Instructions" sheetId="1" r:id="rId3"/>
    <sheet name="A(1)-Sources Stmt." sheetId="2" r:id="rId4"/>
    <sheet name="A(2)-Uses Statement" sheetId="3" r:id="rId5"/>
    <sheet name="A(3)-Sources and Uses Summary" sheetId="22" state="hidden" r:id="rId6"/>
    <sheet name="B-Rent Schedule" sheetId="18" r:id="rId7"/>
    <sheet name="C(1)-Rental Operating ProForma" sheetId="5" r:id="rId8"/>
    <sheet name="C(2)-Commercial ProForma" sheetId="29" r:id="rId9"/>
    <sheet name="D-Owner-Occ Housing Expense" sheetId="24" state="hidden" r:id="rId10"/>
    <sheet name="E-Feasibility Analysis" sheetId="15" r:id="rId11"/>
    <sheet name="E(2)-Sources &amp; Uses Analysis" sheetId="33" r:id="rId12"/>
    <sheet name="G-Sponsor Provided Financing" sheetId="10" state="hidden" r:id="rId13"/>
    <sheet name="Validation Warnings Hidden" sheetId="28" state="hidden" r:id="rId14"/>
    <sheet name="F-TIV" sheetId="34" r:id="rId15"/>
    <sheet name="TIV - FHLB Use Only" sheetId="35" state="hidden" r:id="rId16"/>
    <sheet name="Validation Warnings" sheetId="30" r:id="rId17"/>
    <sheet name="RSMeans" sheetId="23" state="hidden" r:id="rId18"/>
    <sheet name="Income Limits" sheetId="19" state="hidden" r:id="rId19"/>
  </sheets>
  <externalReferences>
    <externalReference r:id="rId20"/>
  </externalReferences>
  <definedNames>
    <definedName name="_xlnm._FilterDatabase" localSheetId="6" hidden="1">'B-Rent Schedule'!$C$61:$P$69</definedName>
    <definedName name="_xlnm._FilterDatabase" localSheetId="9" hidden="1">'D-Owner-Occ Housing Expense'!$K$48:$V$56</definedName>
    <definedName name="_xlnm._FilterDatabase" localSheetId="14" hidden="1">'F-TIV'!$B$26:$S$26</definedName>
    <definedName name="_xlnm._FilterDatabase" localSheetId="16" hidden="1">'Validation Warnings'!$B$16:$Q$27</definedName>
    <definedName name="_xlnm._FilterDatabase" localSheetId="13" hidden="1">'Validation Warnings Hidden'!$B$16:$Q$27</definedName>
    <definedName name="_PER1" localSheetId="15">'TIV - FHLB Use Only'!$F$10:$F$10</definedName>
    <definedName name="_PER2" localSheetId="15">'TIV - FHLB Use Only'!$G$10:$G$10</definedName>
    <definedName name="_PER3" localSheetId="15">'TIV - FHLB Use Only'!$H$10:$H$10</definedName>
    <definedName name="_PER4" localSheetId="15">'TIV - FHLB Use Only'!$I$10:$I$10</definedName>
    <definedName name="_PER5" localSheetId="15">'TIV - FHLB Use Only'!$J$10:$J$10</definedName>
    <definedName name="_PER6" localSheetId="15">'TIV - FHLB Use Only'!$K$10:$K$10</definedName>
    <definedName name="_PER7" localSheetId="15">'TIV - FHLB Use Only'!$L$10:$L$10</definedName>
    <definedName name="_PER8" localSheetId="15">'TIV - FHLB Use Only'!$M$10:$M$10</definedName>
    <definedName name="_VLI1" localSheetId="15">'TIV - FHLB Use Only'!$F$13:$F$13</definedName>
    <definedName name="_VLI2" localSheetId="15">'TIV - FHLB Use Only'!$G$13:$G$13</definedName>
    <definedName name="_VLI3" localSheetId="15">'TIV - FHLB Use Only'!$H$13:$H$13</definedName>
    <definedName name="_VLI4" localSheetId="15">'TIV - FHLB Use Only'!$I$13:$I$13</definedName>
    <definedName name="_VLI5" localSheetId="15">'TIV - FHLB Use Only'!$J$13:$J$13</definedName>
    <definedName name="_VLI6" localSheetId="15">'TIV - FHLB Use Only'!$K$13:$K$13</definedName>
    <definedName name="_VLI7" localSheetId="15">'TIV - FHLB Use Only'!$L$13:$L$13</definedName>
    <definedName name="_VLI8" localSheetId="15">'TIV - FHLB Use Only'!$M$13:$M$13</definedName>
    <definedName name="Alaska_RS" localSheetId="15">'[1]E-Feasibility Analysis'!$AI$79:$AI$83</definedName>
    <definedName name="Alaska_RS">'E-Feasibility Analysis'!$AI$92:$AI$96</definedName>
    <definedName name="anscount" hidden="1">1</definedName>
    <definedName name="County" localSheetId="1">'Income Limits'!$B$3:$B$787</definedName>
    <definedName name="County" localSheetId="15">'[1]Income Limits'!$B$3:$B$787</definedName>
    <definedName name="County" localSheetId="0">'Income Limits'!$B$3:$B$787</definedName>
    <definedName name="County">'Income Limits'!$B$3:$B$787</definedName>
    <definedName name="_xlnm.Criteria" localSheetId="16">'Validation Warnings'!$Q$15</definedName>
    <definedName name="_xlnm.Criteria" localSheetId="13">'Validation Warnings Hidden'!$Q$15</definedName>
    <definedName name="Guam_RS" localSheetId="15">'[1]E-Feasibility Analysis'!$AJ$79:$AJ$80</definedName>
    <definedName name="Guam_RS">'E-Feasibility Analysis'!$AJ$92:$AJ$93</definedName>
    <definedName name="Hawaii_RS" localSheetId="15">'[1]E-Feasibility Analysis'!$AK$79:$AK$81</definedName>
    <definedName name="Hawaii_RS">'E-Feasibility Analysis'!$AK$92:$AK$94</definedName>
    <definedName name="Idaho_RS" localSheetId="15">'[1]E-Feasibility Analysis'!$AL$79:$AL$87</definedName>
    <definedName name="Idaho_RS">'E-Feasibility Analysis'!$AL$92:$AL$98</definedName>
    <definedName name="Montana_RS" localSheetId="15">'[1]E-Feasibility Analysis'!$AM$79:$AM$89</definedName>
    <definedName name="Montana_RS">'E-Feasibility Analysis'!$AM$92:$AM$101</definedName>
    <definedName name="No_State" localSheetId="15">'[1]E-Feasibility Analysis'!$AG$79:$AG$80</definedName>
    <definedName name="No_State">'E-Feasibility Analysis'!$AG$92:$AG$93</definedName>
    <definedName name="Oregon_RS" localSheetId="15">'[1]E-Feasibility Analysis'!$AN$79:$AN$89</definedName>
    <definedName name="Oregon_RS">'E-Feasibility Analysis'!$AN$92:$AN$101</definedName>
    <definedName name="_xlnm.Print_Area" localSheetId="5">'A(3)-Sources and Uses Summary'!$A$1:$P$45</definedName>
    <definedName name="_xlnm.Print_Area" localSheetId="9">'D-Owner-Occ Housing Expense'!$A$12:$O$62</definedName>
    <definedName name="_xlnm.Print_Area" localSheetId="12">'G-Sponsor Provided Financing'!$B$12:$O$36</definedName>
    <definedName name="_xlnm.Print_Area" localSheetId="15">'TIV - FHLB Use Only'!$A$1:$AH$231,'TIV - FHLB Use Only'!$C$233:$Y$268</definedName>
    <definedName name="_xlnm.Print_Area" localSheetId="13">'Validation Warnings Hidden'!$A$1:$M$165</definedName>
    <definedName name="Print_Area_CommProforma" localSheetId="8">'C(2)-Commercial ProForma'!$B$13:$R$68</definedName>
    <definedName name="Print_Area_Feas" localSheetId="10">'E-Feasibility Analysis'!$A$12:$W$231</definedName>
    <definedName name="Print_Area_Instructions" localSheetId="2">'Project Info and Instructions'!$A$16:$R$172</definedName>
    <definedName name="Print_Area_RentalProForma" localSheetId="7">'C(1)-Rental Operating ProForma'!$B$14:$R$69</definedName>
    <definedName name="Print_Area_RentSchedule" localSheetId="6">'B-Rent Schedule'!$B$12:$Q$66</definedName>
    <definedName name="Print_Area_Sources_Stmt" localSheetId="3">'A(1)-Sources Stmt.'!$C$14:$Y$50,'A(1)-Sources Stmt.'!$C$53:$Y$76</definedName>
    <definedName name="Print_Area_SU" localSheetId="11">'E(2)-Sources &amp; Uses Analysis'!$B$1:$O$148</definedName>
    <definedName name="Print_Area_TIV" localSheetId="14">'F-TIV'!$A$12:$T$116,'F-TIV'!$A$117:$S$226</definedName>
    <definedName name="Print_Area_Uses" localSheetId="4">'A(2)-Uses Statement'!$B$12:$O$82</definedName>
    <definedName name="Print_Area_Validation" localSheetId="16">'Validation Warnings'!$A$12:$M$165</definedName>
    <definedName name="_xlnm.Print_Titles" localSheetId="5">'A(3)-Sources and Uses Summary'!$1:$7</definedName>
    <definedName name="_xlnm.Print_Titles" localSheetId="9">'D-Owner-Occ Housing Expense'!$1:$7</definedName>
    <definedName name="_xlnm.Print_Titles" localSheetId="12">'G-Sponsor Provided Financing'!$1:$7</definedName>
    <definedName name="_xlnm.Print_Titles" localSheetId="15">'TIV - FHLB Use Only'!$28:$29</definedName>
    <definedName name="Print_Titles_CommProForma" localSheetId="8">'C(2)-Commercial ProForma'!$1:$7</definedName>
    <definedName name="Print_Titles_Feas" localSheetId="10">'E-Feasibility Analysis'!$1:$7</definedName>
    <definedName name="Print_Titles_Instructions" localSheetId="2">'Project Info and Instructions'!$1:$4</definedName>
    <definedName name="Print_Titles_RentalProForma" localSheetId="7">'C(1)-Rental Operating ProForma'!$1:$7</definedName>
    <definedName name="Print_Titles_RentSched" localSheetId="6">'B-Rent Schedule'!$1:$7</definedName>
    <definedName name="Print_Titles_Sources" localSheetId="3">'A(1)-Sources Stmt.'!$1:$7</definedName>
    <definedName name="Print_Titles_TIV" localSheetId="14">'F-TIV'!$1:$7</definedName>
    <definedName name="Print_Titles_Uses" localSheetId="4">'A(2)-Uses Statement'!$1:$7</definedName>
    <definedName name="Print_Titles_Validation" localSheetId="16">'Validation Warnings'!$1:$7</definedName>
    <definedName name="RENT1" localSheetId="15">'TIV - FHLB Use Only'!$F$14:$F$14</definedName>
    <definedName name="RENT2" localSheetId="15">'TIV - FHLB Use Only'!$G$14:$G$14</definedName>
    <definedName name="RENT3" localSheetId="15">'TIV - FHLB Use Only'!$H$14:$H$14</definedName>
    <definedName name="RENT4" localSheetId="15">'TIV - FHLB Use Only'!$I$14:$I$14</definedName>
    <definedName name="RENT5" localSheetId="15">'TIV - FHLB Use Only'!$J$14:$J$14</definedName>
    <definedName name="RENT6" localSheetId="15">'TIV - FHLB Use Only'!$K$14:$K$14</definedName>
    <definedName name="RENT7" localSheetId="15">'TIV - FHLB Use Only'!$L$14:$L$14</definedName>
    <definedName name="RENT8" localSheetId="15">'TIV - FHLB Use Only'!$M$14:$M$14</definedName>
    <definedName name="RENTA1" localSheetId="15">'TIV - FHLB Use Only'!$F$15</definedName>
    <definedName name="RENTA2" localSheetId="15">'TIV - FHLB Use Only'!$G$15</definedName>
    <definedName name="RENTA3" localSheetId="15">'TIV - FHLB Use Only'!$H$15</definedName>
    <definedName name="RENTA4" localSheetId="15">'TIV - FHLB Use Only'!$I$15</definedName>
    <definedName name="RENTA5" localSheetId="15">'TIV - FHLB Use Only'!$J$15</definedName>
    <definedName name="RENTA6" localSheetId="15">'TIV - FHLB Use Only'!$K$15</definedName>
    <definedName name="RENTA7" localSheetId="15">'TIV - FHLB Use Only'!$L$15</definedName>
    <definedName name="RENTA8" localSheetId="15">'TIV - FHLB Use Only'!$M$15</definedName>
    <definedName name="Select_State" localSheetId="15">#REF!</definedName>
    <definedName name="Select_State">'E-Feasibility Analysis'!$AH$92:$AH$101</definedName>
    <definedName name="Utah_RS" localSheetId="15">'[1]E-Feasibility Analysis'!$AO$79:$AO$87</definedName>
    <definedName name="Utah_RS">'E-Feasibility Analysis'!$AO$92:$AO$97</definedName>
    <definedName name="Washington_RS" localSheetId="15">'[1]E-Feasibility Analysis'!$AP$79:$AP$93</definedName>
    <definedName name="Washington_RS">'E-Feasibility Analysis'!$AP$92:$AP$102</definedName>
    <definedName name="Wyoming_RS" localSheetId="15">'[1]E-Feasibility Analysis'!$AQ$79:$AQ$90</definedName>
    <definedName name="Wyoming_RS">'E-Feasibility Analysis'!$AQ$92:$AQ$102</definedName>
    <definedName name="Year" localSheetId="5">'Income Limits'!#REF!:'Income Limits'!$C$2:$E$2</definedName>
    <definedName name="Year" localSheetId="1">'Income Limits'!#REF!:'Income Limits'!$C$2:$E$2</definedName>
    <definedName name="Year" localSheetId="9">'Income Limits'!#REF!:'Income Limits'!$C$2:$E$2</definedName>
    <definedName name="Year" localSheetId="15">'[1]Income Limits'!#REF!:'[1]Income Limits'!$C$2:$E$2</definedName>
    <definedName name="Year" localSheetId="0">'Income Limits'!#REF!:'Income Limits'!$C$2:$E$2</definedName>
    <definedName name="Z_6E129918_B94F_4CCB_9AB0_DC67DB8EEDFD_.wvu.PrintArea" localSheetId="5" hidden="1">'A(3)-Sources and Uses Summary'!$D$5:$X$24</definedName>
    <definedName name="Z_6E129918_B94F_4CCB_9AB0_DC67DB8EEDFD_.wvu.PrintArea" localSheetId="6" hidden="1">'B-Rent Schedule'!$C$6:$P$15</definedName>
    <definedName name="Z_6E129918_B94F_4CCB_9AB0_DC67DB8EEDFD_.wvu.PrintArea" localSheetId="9" hidden="1">'D-Owner-Occ Housing Expense'!$D$3:$V$12</definedName>
    <definedName name="Z_821387E9_5067_4461_90EB_2AEC075384EB_.wvu.PrintArea" localSheetId="5" hidden="1">'A(3)-Sources and Uses Summary'!$D$5:$X$24</definedName>
    <definedName name="Z_821387E9_5067_4461_90EB_2AEC075384EB_.wvu.PrintArea" localSheetId="6" hidden="1">'B-Rent Schedule'!$C$6:$P$15</definedName>
    <definedName name="Z_821387E9_5067_4461_90EB_2AEC075384EB_.wvu.PrintArea" localSheetId="9" hidden="1">'D-Owner-Occ Housing Expense'!$D$3:$V$12</definedName>
    <definedName name="Z_B30D799E_12F3_4DC5_8159_05820F02B81A_.wvu.PrintArea" localSheetId="5" hidden="1">'A(3)-Sources and Uses Summary'!$D$5:$X$24</definedName>
    <definedName name="Z_B30D799E_12F3_4DC5_8159_05820F02B81A_.wvu.PrintArea" localSheetId="6" hidden="1">'B-Rent Schedule'!$C$6:$P$15</definedName>
    <definedName name="Z_B30D799E_12F3_4DC5_8159_05820F02B81A_.wvu.PrintArea" localSheetId="9" hidden="1">'D-Owner-Occ Housing Expense'!$D$3:$V$12</definedName>
  </definedNames>
  <calcPr calcId="152511"/>
</workbook>
</file>

<file path=xl/calcChain.xml><?xml version="1.0" encoding="utf-8"?>
<calcChain xmlns="http://schemas.openxmlformats.org/spreadsheetml/2006/main">
  <c r="C2" i="37" l="1"/>
  <c r="C1" i="37"/>
  <c r="J2" i="30" l="1"/>
  <c r="P2" i="34"/>
  <c r="M2" i="33"/>
  <c r="T2" i="15"/>
  <c r="P2" i="29"/>
  <c r="P2" i="5"/>
  <c r="P2" i="18"/>
  <c r="M2" i="3"/>
  <c r="N2" i="2"/>
  <c r="G146" i="33" l="1"/>
  <c r="G142" i="33" l="1"/>
  <c r="M141" i="33"/>
  <c r="K141" i="33"/>
  <c r="S141" i="33" s="1"/>
  <c r="M140" i="33"/>
  <c r="K140" i="33"/>
  <c r="S140" i="33" s="1"/>
  <c r="M139" i="33"/>
  <c r="K139" i="33"/>
  <c r="S139" i="33" s="1"/>
  <c r="G116" i="33"/>
  <c r="M115" i="33"/>
  <c r="K115" i="33"/>
  <c r="S115" i="33" s="1"/>
  <c r="M114" i="33"/>
  <c r="K114" i="33"/>
  <c r="S114" i="33" s="1"/>
  <c r="M113" i="33"/>
  <c r="K113" i="33"/>
  <c r="S113" i="33" s="1"/>
  <c r="S87" i="33"/>
  <c r="G37" i="33"/>
  <c r="G66" i="33"/>
  <c r="G88" i="33"/>
  <c r="M87" i="33"/>
  <c r="K87" i="33"/>
  <c r="M86" i="33"/>
  <c r="K63" i="33"/>
  <c r="S63" i="33" s="1"/>
  <c r="M62" i="33"/>
  <c r="M65" i="33"/>
  <c r="K64" i="33"/>
  <c r="S64" i="33" s="1"/>
  <c r="M61" i="33"/>
  <c r="M60" i="33"/>
  <c r="M59" i="33"/>
  <c r="M35" i="33"/>
  <c r="K34" i="33"/>
  <c r="S34" i="33" s="1"/>
  <c r="K33" i="33"/>
  <c r="S33" i="33" s="1"/>
  <c r="M36" i="33"/>
  <c r="G144" i="33" l="1"/>
  <c r="K86" i="33"/>
  <c r="S86" i="33" s="1"/>
  <c r="K85" i="33"/>
  <c r="K62" i="33"/>
  <c r="S62" i="33" s="1"/>
  <c r="M63" i="33"/>
  <c r="K61" i="33"/>
  <c r="S61" i="33" s="1"/>
  <c r="M34" i="33"/>
  <c r="M64" i="33"/>
  <c r="K60" i="33"/>
  <c r="S60" i="33" s="1"/>
  <c r="K59" i="33"/>
  <c r="K65" i="33"/>
  <c r="S65" i="33" s="1"/>
  <c r="M33" i="33"/>
  <c r="K35" i="33"/>
  <c r="S35" i="33" s="1"/>
  <c r="K32" i="33"/>
  <c r="K36" i="33"/>
  <c r="S36" i="33" s="1"/>
  <c r="S100" i="33"/>
  <c r="S90" i="33"/>
  <c r="M85" i="33" l="1"/>
  <c r="S85" i="33"/>
  <c r="S59" i="33"/>
  <c r="S32" i="33"/>
  <c r="M32" i="33"/>
  <c r="J12" i="18"/>
  <c r="R39" i="33" l="1"/>
  <c r="M20" i="29" l="1"/>
  <c r="M21" i="29" s="1"/>
  <c r="M24" i="29" s="1"/>
  <c r="M15" i="33" l="1"/>
  <c r="G98" i="33"/>
  <c r="T140" i="33" l="1"/>
  <c r="T139" i="33"/>
  <c r="T141" i="33"/>
  <c r="T114" i="33"/>
  <c r="T115" i="33"/>
  <c r="T113" i="33"/>
  <c r="T85" i="33"/>
  <c r="T87" i="33"/>
  <c r="T86" i="33"/>
  <c r="T34" i="33"/>
  <c r="T63" i="33"/>
  <c r="T33" i="33"/>
  <c r="T64" i="33"/>
  <c r="T62" i="33"/>
  <c r="T35" i="33"/>
  <c r="T60" i="33"/>
  <c r="T59" i="33"/>
  <c r="T36" i="33"/>
  <c r="T61" i="33"/>
  <c r="T65" i="33"/>
  <c r="T32" i="33"/>
  <c r="T90" i="33"/>
  <c r="T100" i="33"/>
  <c r="K21" i="35"/>
  <c r="K20" i="35"/>
  <c r="AA18" i="34"/>
  <c r="AA17" i="34"/>
  <c r="AA15" i="34"/>
  <c r="AA13" i="34"/>
  <c r="AJ12" i="35"/>
  <c r="AJ13" i="35"/>
  <c r="AJ14" i="35"/>
  <c r="K22" i="35"/>
  <c r="K24" i="35"/>
  <c r="K25" i="35"/>
  <c r="K26" i="35"/>
  <c r="C30" i="35"/>
  <c r="B30" i="35" s="1"/>
  <c r="D30" i="35"/>
  <c r="E30" i="35"/>
  <c r="F30" i="35"/>
  <c r="G30" i="35"/>
  <c r="H30" i="35"/>
  <c r="Y30" i="35"/>
  <c r="C31" i="35"/>
  <c r="D31" i="35"/>
  <c r="E31" i="35"/>
  <c r="F31" i="35"/>
  <c r="G31" i="35"/>
  <c r="H31" i="35"/>
  <c r="Y31" i="35"/>
  <c r="C32" i="35"/>
  <c r="D32" i="35"/>
  <c r="E32" i="35"/>
  <c r="F32" i="35"/>
  <c r="G32" i="35"/>
  <c r="H32" i="35"/>
  <c r="Y32" i="35"/>
  <c r="C33" i="35"/>
  <c r="O33" i="35" s="1"/>
  <c r="D33" i="35"/>
  <c r="E33" i="35"/>
  <c r="F33" i="35"/>
  <c r="G33" i="35"/>
  <c r="H33" i="35"/>
  <c r="Y33" i="35"/>
  <c r="C34" i="35"/>
  <c r="M34" i="35" s="1"/>
  <c r="D34" i="35"/>
  <c r="E34" i="35"/>
  <c r="F34" i="35"/>
  <c r="G34" i="35"/>
  <c r="H34" i="35"/>
  <c r="Y34" i="35"/>
  <c r="C35" i="35"/>
  <c r="AA35" i="35" s="1"/>
  <c r="D35" i="35"/>
  <c r="E35" i="35"/>
  <c r="F35" i="35"/>
  <c r="G35" i="35"/>
  <c r="H35" i="35"/>
  <c r="Y35" i="35"/>
  <c r="C36" i="35"/>
  <c r="L36" i="35" s="1"/>
  <c r="D36" i="35"/>
  <c r="E36" i="35"/>
  <c r="F36" i="35"/>
  <c r="G36" i="35"/>
  <c r="H36" i="35"/>
  <c r="Y36" i="35"/>
  <c r="C37" i="35"/>
  <c r="P37" i="35" s="1"/>
  <c r="D37" i="35"/>
  <c r="E37" i="35"/>
  <c r="F37" i="35"/>
  <c r="G37" i="35"/>
  <c r="H37" i="35"/>
  <c r="Y37" i="35"/>
  <c r="C38" i="35"/>
  <c r="V38" i="35" s="1"/>
  <c r="D38" i="35"/>
  <c r="E38" i="35"/>
  <c r="F38" i="35"/>
  <c r="G38" i="35"/>
  <c r="H38" i="35"/>
  <c r="Y38" i="35"/>
  <c r="C39" i="35"/>
  <c r="B39" i="35" s="1"/>
  <c r="D39" i="35"/>
  <c r="E39" i="35"/>
  <c r="F39" i="35"/>
  <c r="G39" i="35"/>
  <c r="H39" i="35"/>
  <c r="Y39" i="35"/>
  <c r="C40" i="35"/>
  <c r="T40" i="35" s="1"/>
  <c r="D40" i="35"/>
  <c r="E40" i="35"/>
  <c r="F40" i="35"/>
  <c r="G40" i="35"/>
  <c r="H40" i="35"/>
  <c r="Y40" i="35"/>
  <c r="C41" i="35"/>
  <c r="Q41" i="35" s="1"/>
  <c r="D41" i="35"/>
  <c r="E41" i="35"/>
  <c r="F41" i="35"/>
  <c r="G41" i="35"/>
  <c r="H41" i="35"/>
  <c r="Y41" i="35"/>
  <c r="C42" i="35"/>
  <c r="W42" i="35" s="1"/>
  <c r="D42" i="35"/>
  <c r="E42" i="35"/>
  <c r="F42" i="35"/>
  <c r="G42" i="35"/>
  <c r="H42" i="35"/>
  <c r="Y42" i="35"/>
  <c r="C43" i="35"/>
  <c r="Q43" i="35" s="1"/>
  <c r="D43" i="35"/>
  <c r="E43" i="35"/>
  <c r="F43" i="35"/>
  <c r="G43" i="35"/>
  <c r="H43" i="35"/>
  <c r="Y43" i="35"/>
  <c r="C44" i="35"/>
  <c r="D44" i="35"/>
  <c r="E44" i="35"/>
  <c r="F44" i="35"/>
  <c r="G44" i="35"/>
  <c r="H44" i="35"/>
  <c r="Y44" i="35"/>
  <c r="C45" i="35"/>
  <c r="U45" i="35" s="1"/>
  <c r="D45" i="35"/>
  <c r="E45" i="35"/>
  <c r="F45" i="35"/>
  <c r="G45" i="35"/>
  <c r="H45" i="35"/>
  <c r="Y45" i="35"/>
  <c r="C46" i="35"/>
  <c r="M46" i="35" s="1"/>
  <c r="D46" i="35"/>
  <c r="E46" i="35"/>
  <c r="F46" i="35"/>
  <c r="G46" i="35"/>
  <c r="H46" i="35"/>
  <c r="Y46" i="35"/>
  <c r="C47" i="35"/>
  <c r="O47" i="35" s="1"/>
  <c r="D47" i="35"/>
  <c r="E47" i="35"/>
  <c r="F47" i="35"/>
  <c r="G47" i="35"/>
  <c r="H47" i="35"/>
  <c r="Y47" i="35"/>
  <c r="C48" i="35"/>
  <c r="O48" i="35" s="1"/>
  <c r="D48" i="35"/>
  <c r="E48" i="35"/>
  <c r="F48" i="35"/>
  <c r="G48" i="35"/>
  <c r="H48" i="35"/>
  <c r="Y48" i="35"/>
  <c r="C49" i="35"/>
  <c r="D49" i="35"/>
  <c r="E49" i="35"/>
  <c r="F49" i="35"/>
  <c r="G49" i="35"/>
  <c r="H49" i="35"/>
  <c r="Y49" i="35"/>
  <c r="C50" i="35"/>
  <c r="M50" i="35" s="1"/>
  <c r="D50" i="35"/>
  <c r="E50" i="35"/>
  <c r="F50" i="35"/>
  <c r="G50" i="35"/>
  <c r="H50" i="35"/>
  <c r="Y50" i="35"/>
  <c r="C51" i="35"/>
  <c r="L51" i="35" s="1"/>
  <c r="D51" i="35"/>
  <c r="E51" i="35"/>
  <c r="F51" i="35"/>
  <c r="G51" i="35"/>
  <c r="H51" i="35"/>
  <c r="Y51" i="35"/>
  <c r="C52" i="35"/>
  <c r="D52" i="35"/>
  <c r="E52" i="35"/>
  <c r="F52" i="35"/>
  <c r="G52" i="35"/>
  <c r="H52" i="35"/>
  <c r="Y52" i="35"/>
  <c r="C53" i="35"/>
  <c r="T53" i="35" s="1"/>
  <c r="D53" i="35"/>
  <c r="E53" i="35"/>
  <c r="F53" i="35"/>
  <c r="G53" i="35"/>
  <c r="H53" i="35"/>
  <c r="Y53" i="35"/>
  <c r="C54" i="35"/>
  <c r="M54" i="35" s="1"/>
  <c r="D54" i="35"/>
  <c r="E54" i="35"/>
  <c r="F54" i="35"/>
  <c r="G54" i="35"/>
  <c r="H54" i="35"/>
  <c r="Y54" i="35"/>
  <c r="C55" i="35"/>
  <c r="O55" i="35" s="1"/>
  <c r="D55" i="35"/>
  <c r="E55" i="35"/>
  <c r="F55" i="35"/>
  <c r="G55" i="35"/>
  <c r="H55" i="35"/>
  <c r="Y55" i="35"/>
  <c r="C56" i="35"/>
  <c r="M56" i="35" s="1"/>
  <c r="D56" i="35"/>
  <c r="E56" i="35"/>
  <c r="F56" i="35"/>
  <c r="G56" i="35"/>
  <c r="H56" i="35"/>
  <c r="Y56" i="35"/>
  <c r="C57" i="35"/>
  <c r="O57" i="35" s="1"/>
  <c r="D57" i="35"/>
  <c r="E57" i="35"/>
  <c r="F57" i="35"/>
  <c r="G57" i="35"/>
  <c r="H57" i="35"/>
  <c r="Y57" i="35"/>
  <c r="AB57" i="35"/>
  <c r="C58" i="35"/>
  <c r="Q58" i="35" s="1"/>
  <c r="D58" i="35"/>
  <c r="E58" i="35"/>
  <c r="F58" i="35"/>
  <c r="G58" i="35"/>
  <c r="H58" i="35"/>
  <c r="Y58" i="35"/>
  <c r="C59" i="35"/>
  <c r="D59" i="35"/>
  <c r="E59" i="35"/>
  <c r="F59" i="35"/>
  <c r="G59" i="35"/>
  <c r="H59" i="35"/>
  <c r="Y59" i="35"/>
  <c r="C60" i="35"/>
  <c r="Z60" i="35" s="1"/>
  <c r="D60" i="35"/>
  <c r="E60" i="35"/>
  <c r="F60" i="35"/>
  <c r="G60" i="35"/>
  <c r="H60" i="35"/>
  <c r="Y60" i="35"/>
  <c r="C61" i="35"/>
  <c r="N61" i="35" s="1"/>
  <c r="D61" i="35"/>
  <c r="E61" i="35"/>
  <c r="F61" i="35"/>
  <c r="G61" i="35"/>
  <c r="H61" i="35"/>
  <c r="Y61" i="35"/>
  <c r="C62" i="35"/>
  <c r="P62" i="35" s="1"/>
  <c r="D62" i="35"/>
  <c r="E62" i="35"/>
  <c r="F62" i="35"/>
  <c r="G62" i="35"/>
  <c r="H62" i="35"/>
  <c r="Y62" i="35"/>
  <c r="C63" i="35"/>
  <c r="D63" i="35"/>
  <c r="E63" i="35"/>
  <c r="F63" i="35"/>
  <c r="G63" i="35"/>
  <c r="H63" i="35"/>
  <c r="Y63" i="35"/>
  <c r="C64" i="35"/>
  <c r="D64" i="35"/>
  <c r="E64" i="35"/>
  <c r="F64" i="35"/>
  <c r="G64" i="35"/>
  <c r="H64" i="35"/>
  <c r="Y64" i="35"/>
  <c r="C65" i="35"/>
  <c r="L65" i="35" s="1"/>
  <c r="D65" i="35"/>
  <c r="E65" i="35"/>
  <c r="F65" i="35"/>
  <c r="G65" i="35"/>
  <c r="H65" i="35"/>
  <c r="Y65" i="35"/>
  <c r="C66" i="35"/>
  <c r="T66" i="35" s="1"/>
  <c r="D66" i="35"/>
  <c r="E66" i="35"/>
  <c r="F66" i="35"/>
  <c r="G66" i="35"/>
  <c r="H66" i="35"/>
  <c r="Y66" i="35"/>
  <c r="C67" i="35"/>
  <c r="B67" i="35" s="1"/>
  <c r="D67" i="35"/>
  <c r="E67" i="35"/>
  <c r="F67" i="35"/>
  <c r="G67" i="35"/>
  <c r="H67" i="35"/>
  <c r="V67" i="35"/>
  <c r="Y67" i="35"/>
  <c r="C68" i="35"/>
  <c r="D68" i="35"/>
  <c r="E68" i="35"/>
  <c r="F68" i="35"/>
  <c r="G68" i="35"/>
  <c r="H68" i="35"/>
  <c r="Y68" i="35"/>
  <c r="C69" i="35"/>
  <c r="D69" i="35"/>
  <c r="E69" i="35"/>
  <c r="F69" i="35"/>
  <c r="G69" i="35"/>
  <c r="H69" i="35"/>
  <c r="Y69" i="35"/>
  <c r="C70" i="35"/>
  <c r="O70" i="35" s="1"/>
  <c r="D70" i="35"/>
  <c r="E70" i="35"/>
  <c r="F70" i="35"/>
  <c r="G70" i="35"/>
  <c r="H70" i="35"/>
  <c r="Y70" i="35"/>
  <c r="C71" i="35"/>
  <c r="B71" i="35" s="1"/>
  <c r="D71" i="35"/>
  <c r="E71" i="35"/>
  <c r="F71" i="35"/>
  <c r="G71" i="35"/>
  <c r="H71" i="35"/>
  <c r="Y71" i="35"/>
  <c r="C72" i="35"/>
  <c r="D72" i="35"/>
  <c r="E72" i="35"/>
  <c r="F72" i="35"/>
  <c r="G72" i="35"/>
  <c r="H72" i="35"/>
  <c r="Y72" i="35"/>
  <c r="C73" i="35"/>
  <c r="D73" i="35"/>
  <c r="E73" i="35"/>
  <c r="F73" i="35"/>
  <c r="G73" i="35"/>
  <c r="H73" i="35"/>
  <c r="Y73" i="35"/>
  <c r="C74" i="35"/>
  <c r="Q74" i="35" s="1"/>
  <c r="D74" i="35"/>
  <c r="E74" i="35"/>
  <c r="F74" i="35"/>
  <c r="G74" i="35"/>
  <c r="H74" i="35"/>
  <c r="Y74" i="35"/>
  <c r="C75" i="35"/>
  <c r="AB75" i="35" s="1"/>
  <c r="D75" i="35"/>
  <c r="E75" i="35"/>
  <c r="F75" i="35"/>
  <c r="G75" i="35"/>
  <c r="H75" i="35"/>
  <c r="Y75" i="35"/>
  <c r="C76" i="35"/>
  <c r="V76" i="35" s="1"/>
  <c r="D76" i="35"/>
  <c r="E76" i="35"/>
  <c r="F76" i="35"/>
  <c r="G76" i="35"/>
  <c r="H76" i="35"/>
  <c r="Y76" i="35"/>
  <c r="C77" i="35"/>
  <c r="S77" i="35" s="1"/>
  <c r="D77" i="35"/>
  <c r="E77" i="35"/>
  <c r="F77" i="35"/>
  <c r="G77" i="35"/>
  <c r="H77" i="35"/>
  <c r="Y77" i="35"/>
  <c r="C78" i="35"/>
  <c r="R78" i="35" s="1"/>
  <c r="D78" i="35"/>
  <c r="E78" i="35"/>
  <c r="F78" i="35"/>
  <c r="G78" i="35"/>
  <c r="H78" i="35"/>
  <c r="Y78" i="35"/>
  <c r="C79" i="35"/>
  <c r="D79" i="35"/>
  <c r="E79" i="35"/>
  <c r="F79" i="35"/>
  <c r="G79" i="35"/>
  <c r="H79" i="35"/>
  <c r="Y79" i="35"/>
  <c r="C80" i="35"/>
  <c r="O80" i="35" s="1"/>
  <c r="D80" i="35"/>
  <c r="E80" i="35"/>
  <c r="F80" i="35"/>
  <c r="G80" i="35"/>
  <c r="H80" i="35"/>
  <c r="Y80" i="35"/>
  <c r="C81" i="35"/>
  <c r="D81" i="35"/>
  <c r="E81" i="35"/>
  <c r="F81" i="35"/>
  <c r="G81" i="35"/>
  <c r="H81" i="35"/>
  <c r="Y81" i="35"/>
  <c r="C82" i="35"/>
  <c r="D82" i="35"/>
  <c r="E82" i="35"/>
  <c r="F82" i="35"/>
  <c r="G82" i="35"/>
  <c r="H82" i="35"/>
  <c r="Y82" i="35"/>
  <c r="C83" i="35"/>
  <c r="O83" i="35" s="1"/>
  <c r="D83" i="35"/>
  <c r="E83" i="35"/>
  <c r="F83" i="35"/>
  <c r="G83" i="35"/>
  <c r="H83" i="35"/>
  <c r="Y83" i="35"/>
  <c r="C84" i="35"/>
  <c r="U84" i="35" s="1"/>
  <c r="D84" i="35"/>
  <c r="E84" i="35"/>
  <c r="F84" i="35"/>
  <c r="G84" i="35"/>
  <c r="H84" i="35"/>
  <c r="Y84" i="35"/>
  <c r="C85" i="35"/>
  <c r="D85" i="35"/>
  <c r="E85" i="35"/>
  <c r="F85" i="35"/>
  <c r="G85" i="35"/>
  <c r="H85" i="35"/>
  <c r="Y85" i="35"/>
  <c r="C86" i="35"/>
  <c r="T86" i="35" s="1"/>
  <c r="D86" i="35"/>
  <c r="E86" i="35"/>
  <c r="F86" i="35"/>
  <c r="G86" i="35"/>
  <c r="H86" i="35"/>
  <c r="Y86" i="35"/>
  <c r="C87" i="35"/>
  <c r="S87" i="35" s="1"/>
  <c r="D87" i="35"/>
  <c r="E87" i="35"/>
  <c r="F87" i="35"/>
  <c r="G87" i="35"/>
  <c r="H87" i="35"/>
  <c r="Y87" i="35"/>
  <c r="C88" i="35"/>
  <c r="D88" i="35"/>
  <c r="E88" i="35"/>
  <c r="F88" i="35"/>
  <c r="G88" i="35"/>
  <c r="H88" i="35"/>
  <c r="Y88" i="35"/>
  <c r="C89" i="35"/>
  <c r="AA89" i="35" s="1"/>
  <c r="D89" i="35"/>
  <c r="E89" i="35"/>
  <c r="F89" i="35"/>
  <c r="G89" i="35"/>
  <c r="H89" i="35"/>
  <c r="Y89" i="35"/>
  <c r="C90" i="35"/>
  <c r="S90" i="35" s="1"/>
  <c r="D90" i="35"/>
  <c r="E90" i="35"/>
  <c r="F90" i="35"/>
  <c r="G90" i="35"/>
  <c r="H90" i="35"/>
  <c r="Y90" i="35"/>
  <c r="C91" i="35"/>
  <c r="M91" i="35" s="1"/>
  <c r="D91" i="35"/>
  <c r="E91" i="35"/>
  <c r="F91" i="35"/>
  <c r="G91" i="35"/>
  <c r="H91" i="35"/>
  <c r="Y91" i="35"/>
  <c r="C92" i="35"/>
  <c r="D92" i="35"/>
  <c r="E92" i="35"/>
  <c r="F92" i="35"/>
  <c r="G92" i="35"/>
  <c r="H92" i="35"/>
  <c r="Y92" i="35"/>
  <c r="C93" i="35"/>
  <c r="D93" i="35"/>
  <c r="E93" i="35"/>
  <c r="F93" i="35"/>
  <c r="G93" i="35"/>
  <c r="H93" i="35"/>
  <c r="Y93" i="35"/>
  <c r="C94" i="35"/>
  <c r="D94" i="35"/>
  <c r="E94" i="35"/>
  <c r="F94" i="35"/>
  <c r="G94" i="35"/>
  <c r="H94" i="35"/>
  <c r="Y94" i="35"/>
  <c r="C95" i="35"/>
  <c r="D95" i="35"/>
  <c r="E95" i="35"/>
  <c r="F95" i="35"/>
  <c r="G95" i="35"/>
  <c r="H95" i="35"/>
  <c r="Y95" i="35"/>
  <c r="C96" i="35"/>
  <c r="D96" i="35"/>
  <c r="E96" i="35"/>
  <c r="F96" i="35"/>
  <c r="G96" i="35"/>
  <c r="H96" i="35"/>
  <c r="Y96" i="35"/>
  <c r="C97" i="35"/>
  <c r="W97" i="35" s="1"/>
  <c r="D97" i="35"/>
  <c r="E97" i="35"/>
  <c r="F97" i="35"/>
  <c r="G97" i="35"/>
  <c r="H97" i="35"/>
  <c r="Y97" i="35"/>
  <c r="C98" i="35"/>
  <c r="P98" i="35" s="1"/>
  <c r="D98" i="35"/>
  <c r="E98" i="35"/>
  <c r="F98" i="35"/>
  <c r="G98" i="35"/>
  <c r="H98" i="35"/>
  <c r="Y98" i="35"/>
  <c r="C99" i="35"/>
  <c r="S99" i="35" s="1"/>
  <c r="D99" i="35"/>
  <c r="E99" i="35"/>
  <c r="F99" i="35"/>
  <c r="G99" i="35"/>
  <c r="H99" i="35"/>
  <c r="Y99" i="35"/>
  <c r="C100" i="35"/>
  <c r="U100" i="35" s="1"/>
  <c r="D100" i="35"/>
  <c r="E100" i="35"/>
  <c r="F100" i="35"/>
  <c r="G100" i="35"/>
  <c r="H100" i="35"/>
  <c r="Y100" i="35"/>
  <c r="C101" i="35"/>
  <c r="D101" i="35"/>
  <c r="E101" i="35"/>
  <c r="F101" i="35"/>
  <c r="G101" i="35"/>
  <c r="H101" i="35"/>
  <c r="Y101" i="35"/>
  <c r="C102" i="35"/>
  <c r="D102" i="35"/>
  <c r="E102" i="35"/>
  <c r="F102" i="35"/>
  <c r="G102" i="35"/>
  <c r="H102" i="35"/>
  <c r="Y102" i="35"/>
  <c r="C103" i="35"/>
  <c r="S103" i="35" s="1"/>
  <c r="D103" i="35"/>
  <c r="E103" i="35"/>
  <c r="F103" i="35"/>
  <c r="G103" i="35"/>
  <c r="H103" i="35"/>
  <c r="Y103" i="35"/>
  <c r="C104" i="35"/>
  <c r="L104" i="35" s="1"/>
  <c r="D104" i="35"/>
  <c r="E104" i="35"/>
  <c r="F104" i="35"/>
  <c r="G104" i="35"/>
  <c r="H104" i="35"/>
  <c r="U104" i="35"/>
  <c r="Y104" i="35"/>
  <c r="C105" i="35"/>
  <c r="S105" i="35" s="1"/>
  <c r="D105" i="35"/>
  <c r="E105" i="35"/>
  <c r="F105" i="35"/>
  <c r="G105" i="35"/>
  <c r="H105" i="35"/>
  <c r="Y105" i="35"/>
  <c r="C106" i="35"/>
  <c r="W106" i="35" s="1"/>
  <c r="D106" i="35"/>
  <c r="E106" i="35"/>
  <c r="F106" i="35"/>
  <c r="G106" i="35"/>
  <c r="H106" i="35"/>
  <c r="Y106" i="35"/>
  <c r="C107" i="35"/>
  <c r="O107" i="35" s="1"/>
  <c r="D107" i="35"/>
  <c r="E107" i="35"/>
  <c r="F107" i="35"/>
  <c r="G107" i="35"/>
  <c r="H107" i="35"/>
  <c r="Q107" i="35"/>
  <c r="Y107" i="35"/>
  <c r="C108" i="35"/>
  <c r="D108" i="35"/>
  <c r="E108" i="35"/>
  <c r="F108" i="35"/>
  <c r="G108" i="35"/>
  <c r="H108" i="35"/>
  <c r="Y108" i="35"/>
  <c r="C109" i="35"/>
  <c r="O109" i="35" s="1"/>
  <c r="D109" i="35"/>
  <c r="E109" i="35"/>
  <c r="F109" i="35"/>
  <c r="G109" i="35"/>
  <c r="H109" i="35"/>
  <c r="Y109" i="35"/>
  <c r="C110" i="35"/>
  <c r="Q110" i="35" s="1"/>
  <c r="D110" i="35"/>
  <c r="E110" i="35"/>
  <c r="F110" i="35"/>
  <c r="G110" i="35"/>
  <c r="H110" i="35"/>
  <c r="Y110" i="35"/>
  <c r="C111" i="35"/>
  <c r="R111" i="35" s="1"/>
  <c r="D111" i="35"/>
  <c r="E111" i="35"/>
  <c r="F111" i="35"/>
  <c r="G111" i="35"/>
  <c r="H111" i="35"/>
  <c r="Y111" i="35"/>
  <c r="C112" i="35"/>
  <c r="D112" i="35"/>
  <c r="E112" i="35"/>
  <c r="F112" i="35"/>
  <c r="G112" i="35"/>
  <c r="H112" i="35"/>
  <c r="Y112" i="35"/>
  <c r="C113" i="35"/>
  <c r="P113" i="35" s="1"/>
  <c r="D113" i="35"/>
  <c r="E113" i="35"/>
  <c r="F113" i="35"/>
  <c r="G113" i="35"/>
  <c r="H113" i="35"/>
  <c r="Y113" i="35"/>
  <c r="C114" i="35"/>
  <c r="D114" i="35"/>
  <c r="E114" i="35"/>
  <c r="F114" i="35"/>
  <c r="G114" i="35"/>
  <c r="H114" i="35"/>
  <c r="Y114" i="35"/>
  <c r="C115" i="35"/>
  <c r="D115" i="35"/>
  <c r="E115" i="35"/>
  <c r="F115" i="35"/>
  <c r="G115" i="35"/>
  <c r="H115" i="35"/>
  <c r="Y115" i="35"/>
  <c r="C116" i="35"/>
  <c r="D116" i="35"/>
  <c r="E116" i="35"/>
  <c r="F116" i="35"/>
  <c r="G116" i="35"/>
  <c r="H116" i="35"/>
  <c r="Y116" i="35"/>
  <c r="C117" i="35"/>
  <c r="D117" i="35"/>
  <c r="E117" i="35"/>
  <c r="F117" i="35"/>
  <c r="G117" i="35"/>
  <c r="H117" i="35"/>
  <c r="Y117" i="35"/>
  <c r="C118" i="35"/>
  <c r="D118" i="35"/>
  <c r="E118" i="35"/>
  <c r="F118" i="35"/>
  <c r="G118" i="35"/>
  <c r="H118" i="35"/>
  <c r="Y118" i="35"/>
  <c r="C119" i="35"/>
  <c r="M119" i="35" s="1"/>
  <c r="D119" i="35"/>
  <c r="E119" i="35"/>
  <c r="F119" i="35"/>
  <c r="G119" i="35"/>
  <c r="H119" i="35"/>
  <c r="Y119" i="35"/>
  <c r="C120" i="35"/>
  <c r="V120" i="35" s="1"/>
  <c r="D120" i="35"/>
  <c r="E120" i="35"/>
  <c r="F120" i="35"/>
  <c r="G120" i="35"/>
  <c r="H120" i="35"/>
  <c r="Y120" i="35"/>
  <c r="C121" i="35"/>
  <c r="O121" i="35" s="1"/>
  <c r="D121" i="35"/>
  <c r="E121" i="35"/>
  <c r="F121" i="35"/>
  <c r="G121" i="35"/>
  <c r="H121" i="35"/>
  <c r="Y121" i="35"/>
  <c r="C122" i="35"/>
  <c r="D122" i="35"/>
  <c r="E122" i="35"/>
  <c r="F122" i="35"/>
  <c r="G122" i="35"/>
  <c r="H122" i="35"/>
  <c r="Y122" i="35"/>
  <c r="C123" i="35"/>
  <c r="D123" i="35"/>
  <c r="E123" i="35"/>
  <c r="F123" i="35"/>
  <c r="G123" i="35"/>
  <c r="H123" i="35"/>
  <c r="Y123" i="35"/>
  <c r="C124" i="35"/>
  <c r="AA124" i="35" s="1"/>
  <c r="D124" i="35"/>
  <c r="E124" i="35"/>
  <c r="F124" i="35"/>
  <c r="G124" i="35"/>
  <c r="H124" i="35"/>
  <c r="Y124" i="35"/>
  <c r="C125" i="35"/>
  <c r="D125" i="35"/>
  <c r="E125" i="35"/>
  <c r="F125" i="35"/>
  <c r="G125" i="35"/>
  <c r="H125" i="35"/>
  <c r="Y125" i="35"/>
  <c r="C126" i="35"/>
  <c r="T126" i="35" s="1"/>
  <c r="D126" i="35"/>
  <c r="E126" i="35"/>
  <c r="F126" i="35"/>
  <c r="G126" i="35"/>
  <c r="H126" i="35"/>
  <c r="Y126" i="35"/>
  <c r="C127" i="35"/>
  <c r="Q127" i="35" s="1"/>
  <c r="D127" i="35"/>
  <c r="E127" i="35"/>
  <c r="F127" i="35"/>
  <c r="G127" i="35"/>
  <c r="H127" i="35"/>
  <c r="Y127" i="35"/>
  <c r="C128" i="35"/>
  <c r="W128" i="35" s="1"/>
  <c r="D128" i="35"/>
  <c r="E128" i="35"/>
  <c r="F128" i="35"/>
  <c r="G128" i="35"/>
  <c r="H128" i="35"/>
  <c r="Y128" i="35"/>
  <c r="C129" i="35"/>
  <c r="L129" i="35" s="1"/>
  <c r="D129" i="35"/>
  <c r="E129" i="35"/>
  <c r="F129" i="35"/>
  <c r="G129" i="35"/>
  <c r="H129" i="35"/>
  <c r="Y129" i="35"/>
  <c r="C130" i="35"/>
  <c r="I130" i="35" s="1"/>
  <c r="D130" i="35"/>
  <c r="E130" i="35"/>
  <c r="F130" i="35"/>
  <c r="G130" i="35"/>
  <c r="H130" i="35"/>
  <c r="Y130" i="35"/>
  <c r="C131" i="35"/>
  <c r="S131" i="35" s="1"/>
  <c r="D131" i="35"/>
  <c r="E131" i="35"/>
  <c r="F131" i="35"/>
  <c r="G131" i="35"/>
  <c r="H131" i="35"/>
  <c r="P131" i="35"/>
  <c r="Y131" i="35"/>
  <c r="C132" i="35"/>
  <c r="AA132" i="35" s="1"/>
  <c r="D132" i="35"/>
  <c r="E132" i="35"/>
  <c r="F132" i="35"/>
  <c r="G132" i="35"/>
  <c r="H132" i="35"/>
  <c r="Y132" i="35"/>
  <c r="C133" i="35"/>
  <c r="P133" i="35" s="1"/>
  <c r="D133" i="35"/>
  <c r="E133" i="35"/>
  <c r="F133" i="35"/>
  <c r="G133" i="35"/>
  <c r="H133" i="35"/>
  <c r="L133" i="35"/>
  <c r="U133" i="35"/>
  <c r="Y133" i="35"/>
  <c r="C134" i="35"/>
  <c r="Q134" i="35" s="1"/>
  <c r="D134" i="35"/>
  <c r="E134" i="35"/>
  <c r="F134" i="35"/>
  <c r="G134" i="35"/>
  <c r="H134" i="35"/>
  <c r="Y134" i="35"/>
  <c r="C135" i="35"/>
  <c r="N135" i="35" s="1"/>
  <c r="D135" i="35"/>
  <c r="E135" i="35"/>
  <c r="F135" i="35"/>
  <c r="G135" i="35"/>
  <c r="H135" i="35"/>
  <c r="Y135" i="35"/>
  <c r="C136" i="35"/>
  <c r="W136" i="35" s="1"/>
  <c r="D136" i="35"/>
  <c r="E136" i="35"/>
  <c r="F136" i="35"/>
  <c r="G136" i="35"/>
  <c r="H136" i="35"/>
  <c r="Y136" i="35"/>
  <c r="C137" i="35"/>
  <c r="Q137" i="35" s="1"/>
  <c r="D137" i="35"/>
  <c r="E137" i="35"/>
  <c r="F137" i="35"/>
  <c r="G137" i="35"/>
  <c r="H137" i="35"/>
  <c r="Y137" i="35"/>
  <c r="C138" i="35"/>
  <c r="D138" i="35"/>
  <c r="E138" i="35"/>
  <c r="F138" i="35"/>
  <c r="G138" i="35"/>
  <c r="H138" i="35"/>
  <c r="Y138" i="35"/>
  <c r="C139" i="35"/>
  <c r="D139" i="35"/>
  <c r="E139" i="35"/>
  <c r="F139" i="35"/>
  <c r="G139" i="35"/>
  <c r="H139" i="35"/>
  <c r="Y139" i="35"/>
  <c r="C140" i="35"/>
  <c r="D140" i="35"/>
  <c r="E140" i="35"/>
  <c r="F140" i="35"/>
  <c r="G140" i="35"/>
  <c r="H140" i="35"/>
  <c r="Y140" i="35"/>
  <c r="C141" i="35"/>
  <c r="S141" i="35" s="1"/>
  <c r="D141" i="35"/>
  <c r="E141" i="35"/>
  <c r="F141" i="35"/>
  <c r="G141" i="35"/>
  <c r="H141" i="35"/>
  <c r="Y141" i="35"/>
  <c r="C142" i="35"/>
  <c r="O142" i="35" s="1"/>
  <c r="D142" i="35"/>
  <c r="E142" i="35"/>
  <c r="F142" i="35"/>
  <c r="G142" i="35"/>
  <c r="H142" i="35"/>
  <c r="Y142" i="35"/>
  <c r="C143" i="35"/>
  <c r="V143" i="35" s="1"/>
  <c r="D143" i="35"/>
  <c r="E143" i="35"/>
  <c r="F143" i="35"/>
  <c r="G143" i="35"/>
  <c r="H143" i="35"/>
  <c r="L143" i="35"/>
  <c r="Y143" i="35"/>
  <c r="AB143" i="35"/>
  <c r="C144" i="35"/>
  <c r="W144" i="35" s="1"/>
  <c r="D144" i="35"/>
  <c r="E144" i="35"/>
  <c r="F144" i="35"/>
  <c r="G144" i="35"/>
  <c r="H144" i="35"/>
  <c r="Y144" i="35"/>
  <c r="C145" i="35"/>
  <c r="L145" i="35" s="1"/>
  <c r="D145" i="35"/>
  <c r="E145" i="35"/>
  <c r="F145" i="35"/>
  <c r="G145" i="35"/>
  <c r="H145" i="35"/>
  <c r="Y145" i="35"/>
  <c r="C146" i="35"/>
  <c r="O146" i="35" s="1"/>
  <c r="D146" i="35"/>
  <c r="E146" i="35"/>
  <c r="F146" i="35"/>
  <c r="G146" i="35"/>
  <c r="H146" i="35"/>
  <c r="Y146" i="35"/>
  <c r="C147" i="35"/>
  <c r="S147" i="35" s="1"/>
  <c r="D147" i="35"/>
  <c r="E147" i="35"/>
  <c r="F147" i="35"/>
  <c r="G147" i="35"/>
  <c r="H147" i="35"/>
  <c r="Y147" i="35"/>
  <c r="C148" i="35"/>
  <c r="B148" i="35" s="1"/>
  <c r="D148" i="35"/>
  <c r="E148" i="35"/>
  <c r="F148" i="35"/>
  <c r="G148" i="35"/>
  <c r="H148" i="35"/>
  <c r="Y148" i="35"/>
  <c r="C149" i="35"/>
  <c r="I149" i="35" s="1"/>
  <c r="D149" i="35"/>
  <c r="E149" i="35"/>
  <c r="F149" i="35"/>
  <c r="G149" i="35"/>
  <c r="H149" i="35"/>
  <c r="Y149" i="35"/>
  <c r="C150" i="35"/>
  <c r="Q150" i="35" s="1"/>
  <c r="D150" i="35"/>
  <c r="E150" i="35"/>
  <c r="F150" i="35"/>
  <c r="G150" i="35"/>
  <c r="H150" i="35"/>
  <c r="Y150" i="35"/>
  <c r="C151" i="35"/>
  <c r="D151" i="35"/>
  <c r="E151" i="35"/>
  <c r="F151" i="35"/>
  <c r="G151" i="35"/>
  <c r="H151" i="35"/>
  <c r="Y151" i="35"/>
  <c r="C152" i="35"/>
  <c r="O152" i="35" s="1"/>
  <c r="D152" i="35"/>
  <c r="E152" i="35"/>
  <c r="F152" i="35"/>
  <c r="G152" i="35"/>
  <c r="H152" i="35"/>
  <c r="Y152" i="35"/>
  <c r="C153" i="35"/>
  <c r="Q153" i="35" s="1"/>
  <c r="D153" i="35"/>
  <c r="E153" i="35"/>
  <c r="F153" i="35"/>
  <c r="G153" i="35"/>
  <c r="H153" i="35"/>
  <c r="Y153" i="35"/>
  <c r="C154" i="35"/>
  <c r="D154" i="35"/>
  <c r="E154" i="35"/>
  <c r="F154" i="35"/>
  <c r="G154" i="35"/>
  <c r="H154" i="35"/>
  <c r="Y154" i="35"/>
  <c r="C155" i="35"/>
  <c r="D155" i="35"/>
  <c r="E155" i="35"/>
  <c r="F155" i="35"/>
  <c r="G155" i="35"/>
  <c r="H155" i="35"/>
  <c r="Y155" i="35"/>
  <c r="C156" i="35"/>
  <c r="O156" i="35" s="1"/>
  <c r="D156" i="35"/>
  <c r="E156" i="35"/>
  <c r="F156" i="35"/>
  <c r="G156" i="35"/>
  <c r="H156" i="35"/>
  <c r="Y156" i="35"/>
  <c r="C157" i="35"/>
  <c r="R157" i="35" s="1"/>
  <c r="D157" i="35"/>
  <c r="E157" i="35"/>
  <c r="F157" i="35"/>
  <c r="G157" i="35"/>
  <c r="H157" i="35"/>
  <c r="Y157" i="35"/>
  <c r="C158" i="35"/>
  <c r="W158" i="35" s="1"/>
  <c r="D158" i="35"/>
  <c r="E158" i="35"/>
  <c r="F158" i="35"/>
  <c r="G158" i="35"/>
  <c r="H158" i="35"/>
  <c r="Y158" i="35"/>
  <c r="C159" i="35"/>
  <c r="N159" i="35" s="1"/>
  <c r="D159" i="35"/>
  <c r="E159" i="35"/>
  <c r="F159" i="35"/>
  <c r="G159" i="35"/>
  <c r="H159" i="35"/>
  <c r="Y159" i="35"/>
  <c r="C160" i="35"/>
  <c r="D160" i="35"/>
  <c r="E160" i="35"/>
  <c r="F160" i="35"/>
  <c r="G160" i="35"/>
  <c r="H160" i="35"/>
  <c r="Y160" i="35"/>
  <c r="C161" i="35"/>
  <c r="D161" i="35"/>
  <c r="E161" i="35"/>
  <c r="F161" i="35"/>
  <c r="G161" i="35"/>
  <c r="H161" i="35"/>
  <c r="Y161" i="35"/>
  <c r="C162" i="35"/>
  <c r="S162" i="35" s="1"/>
  <c r="D162" i="35"/>
  <c r="E162" i="35"/>
  <c r="F162" i="35"/>
  <c r="G162" i="35"/>
  <c r="H162" i="35"/>
  <c r="Y162" i="35"/>
  <c r="C163" i="35"/>
  <c r="I163" i="35" s="1"/>
  <c r="D163" i="35"/>
  <c r="E163" i="35"/>
  <c r="F163" i="35"/>
  <c r="G163" i="35"/>
  <c r="H163" i="35"/>
  <c r="Y163" i="35"/>
  <c r="C164" i="35"/>
  <c r="D164" i="35"/>
  <c r="E164" i="35"/>
  <c r="F164" i="35"/>
  <c r="G164" i="35"/>
  <c r="H164" i="35"/>
  <c r="Y164" i="35"/>
  <c r="C165" i="35"/>
  <c r="T165" i="35" s="1"/>
  <c r="D165" i="35"/>
  <c r="E165" i="35"/>
  <c r="F165" i="35"/>
  <c r="G165" i="35"/>
  <c r="H165" i="35"/>
  <c r="Y165" i="35"/>
  <c r="C166" i="35"/>
  <c r="O166" i="35" s="1"/>
  <c r="D166" i="35"/>
  <c r="E166" i="35"/>
  <c r="F166" i="35"/>
  <c r="G166" i="35"/>
  <c r="H166" i="35"/>
  <c r="Y166" i="35"/>
  <c r="C167" i="35"/>
  <c r="B167" i="35" s="1"/>
  <c r="D167" i="35"/>
  <c r="E167" i="35"/>
  <c r="F167" i="35"/>
  <c r="G167" i="35"/>
  <c r="H167" i="35"/>
  <c r="W167" i="35"/>
  <c r="Y167" i="35"/>
  <c r="C168" i="35"/>
  <c r="Q168" i="35" s="1"/>
  <c r="D168" i="35"/>
  <c r="E168" i="35"/>
  <c r="F168" i="35"/>
  <c r="G168" i="35"/>
  <c r="H168" i="35"/>
  <c r="I168" i="35"/>
  <c r="Y168" i="35"/>
  <c r="C169" i="35"/>
  <c r="L169" i="35" s="1"/>
  <c r="D169" i="35"/>
  <c r="E169" i="35"/>
  <c r="F169" i="35"/>
  <c r="G169" i="35"/>
  <c r="H169" i="35"/>
  <c r="Y169" i="35"/>
  <c r="C170" i="35"/>
  <c r="D170" i="35"/>
  <c r="E170" i="35"/>
  <c r="F170" i="35"/>
  <c r="G170" i="35"/>
  <c r="H170" i="35"/>
  <c r="Y170" i="35"/>
  <c r="C171" i="35"/>
  <c r="T171" i="35" s="1"/>
  <c r="D171" i="35"/>
  <c r="E171" i="35"/>
  <c r="F171" i="35"/>
  <c r="G171" i="35"/>
  <c r="H171" i="35"/>
  <c r="Y171" i="35"/>
  <c r="C172" i="35"/>
  <c r="M172" i="35" s="1"/>
  <c r="D172" i="35"/>
  <c r="E172" i="35"/>
  <c r="F172" i="35"/>
  <c r="G172" i="35"/>
  <c r="H172" i="35"/>
  <c r="Y172" i="35"/>
  <c r="C173" i="35"/>
  <c r="B173" i="35" s="1"/>
  <c r="D173" i="35"/>
  <c r="E173" i="35"/>
  <c r="F173" i="35"/>
  <c r="G173" i="35"/>
  <c r="H173" i="35"/>
  <c r="Y173" i="35"/>
  <c r="AB173" i="35"/>
  <c r="C174" i="35"/>
  <c r="D174" i="35"/>
  <c r="E174" i="35"/>
  <c r="F174" i="35"/>
  <c r="G174" i="35"/>
  <c r="H174" i="35"/>
  <c r="Y174" i="35"/>
  <c r="B175" i="35"/>
  <c r="C175" i="35"/>
  <c r="S175" i="35" s="1"/>
  <c r="D175" i="35"/>
  <c r="E175" i="35"/>
  <c r="F175" i="35"/>
  <c r="G175" i="35"/>
  <c r="H175" i="35"/>
  <c r="R175" i="35"/>
  <c r="Y175" i="35"/>
  <c r="C176" i="35"/>
  <c r="O176" i="35" s="1"/>
  <c r="D176" i="35"/>
  <c r="E176" i="35"/>
  <c r="F176" i="35"/>
  <c r="G176" i="35"/>
  <c r="H176" i="35"/>
  <c r="Y176" i="35"/>
  <c r="C177" i="35"/>
  <c r="Q177" i="35" s="1"/>
  <c r="D177" i="35"/>
  <c r="E177" i="35"/>
  <c r="F177" i="35"/>
  <c r="G177" i="35"/>
  <c r="H177" i="35"/>
  <c r="Y177" i="35"/>
  <c r="C178" i="35"/>
  <c r="AA178" i="35" s="1"/>
  <c r="D178" i="35"/>
  <c r="E178" i="35"/>
  <c r="F178" i="35"/>
  <c r="G178" i="35"/>
  <c r="H178" i="35"/>
  <c r="Y178" i="35"/>
  <c r="C179" i="35"/>
  <c r="S179" i="35" s="1"/>
  <c r="D179" i="35"/>
  <c r="E179" i="35"/>
  <c r="F179" i="35"/>
  <c r="G179" i="35"/>
  <c r="H179" i="35"/>
  <c r="Y179" i="35"/>
  <c r="C180" i="35"/>
  <c r="D180" i="35"/>
  <c r="E180" i="35"/>
  <c r="F180" i="35"/>
  <c r="G180" i="35"/>
  <c r="H180" i="35"/>
  <c r="Y180" i="35"/>
  <c r="C181" i="35"/>
  <c r="B181" i="35" s="1"/>
  <c r="D181" i="35"/>
  <c r="E181" i="35"/>
  <c r="F181" i="35"/>
  <c r="G181" i="35"/>
  <c r="H181" i="35"/>
  <c r="Y181" i="35"/>
  <c r="C182" i="35"/>
  <c r="M182" i="35" s="1"/>
  <c r="D182" i="35"/>
  <c r="E182" i="35"/>
  <c r="F182" i="35"/>
  <c r="G182" i="35"/>
  <c r="H182" i="35"/>
  <c r="Y182" i="35"/>
  <c r="C183" i="35"/>
  <c r="N183" i="35" s="1"/>
  <c r="D183" i="35"/>
  <c r="E183" i="35"/>
  <c r="F183" i="35"/>
  <c r="G183" i="35"/>
  <c r="H183" i="35"/>
  <c r="Y183" i="35"/>
  <c r="C184" i="35"/>
  <c r="M184" i="35" s="1"/>
  <c r="D184" i="35"/>
  <c r="E184" i="35"/>
  <c r="F184" i="35"/>
  <c r="G184" i="35"/>
  <c r="H184" i="35"/>
  <c r="Y184" i="35"/>
  <c r="C185" i="35"/>
  <c r="M185" i="35" s="1"/>
  <c r="D185" i="35"/>
  <c r="E185" i="35"/>
  <c r="F185" i="35"/>
  <c r="G185" i="35"/>
  <c r="H185" i="35"/>
  <c r="Y185" i="35"/>
  <c r="C186" i="35"/>
  <c r="M186" i="35" s="1"/>
  <c r="D186" i="35"/>
  <c r="E186" i="35"/>
  <c r="F186" i="35"/>
  <c r="G186" i="35"/>
  <c r="H186" i="35"/>
  <c r="Y186" i="35"/>
  <c r="C187" i="35"/>
  <c r="R187" i="35" s="1"/>
  <c r="D187" i="35"/>
  <c r="E187" i="35"/>
  <c r="F187" i="35"/>
  <c r="G187" i="35"/>
  <c r="H187" i="35"/>
  <c r="Y187" i="35"/>
  <c r="C188" i="35"/>
  <c r="D188" i="35"/>
  <c r="E188" i="35"/>
  <c r="F188" i="35"/>
  <c r="G188" i="35"/>
  <c r="H188" i="35"/>
  <c r="Y188" i="35"/>
  <c r="C189" i="35"/>
  <c r="O189" i="35" s="1"/>
  <c r="D189" i="35"/>
  <c r="E189" i="35"/>
  <c r="F189" i="35"/>
  <c r="G189" i="35"/>
  <c r="H189" i="35"/>
  <c r="Y189" i="35"/>
  <c r="C190" i="35"/>
  <c r="V190" i="35" s="1"/>
  <c r="D190" i="35"/>
  <c r="E190" i="35"/>
  <c r="F190" i="35"/>
  <c r="G190" i="35"/>
  <c r="H190" i="35"/>
  <c r="Y190" i="35"/>
  <c r="C191" i="35"/>
  <c r="O191" i="35" s="1"/>
  <c r="D191" i="35"/>
  <c r="E191" i="35"/>
  <c r="F191" i="35"/>
  <c r="G191" i="35"/>
  <c r="H191" i="35"/>
  <c r="Y191" i="35"/>
  <c r="C192" i="35"/>
  <c r="W192" i="35" s="1"/>
  <c r="D192" i="35"/>
  <c r="E192" i="35"/>
  <c r="F192" i="35"/>
  <c r="G192" i="35"/>
  <c r="H192" i="35"/>
  <c r="Y192" i="35"/>
  <c r="C193" i="35"/>
  <c r="M193" i="35" s="1"/>
  <c r="D193" i="35"/>
  <c r="E193" i="35"/>
  <c r="F193" i="35"/>
  <c r="G193" i="35"/>
  <c r="H193" i="35"/>
  <c r="Y193" i="35"/>
  <c r="C194" i="35"/>
  <c r="D194" i="35"/>
  <c r="E194" i="35"/>
  <c r="F194" i="35"/>
  <c r="G194" i="35"/>
  <c r="H194" i="35"/>
  <c r="Y194" i="35"/>
  <c r="C195" i="35"/>
  <c r="Q195" i="35" s="1"/>
  <c r="D195" i="35"/>
  <c r="E195" i="35"/>
  <c r="F195" i="35"/>
  <c r="G195" i="35"/>
  <c r="H195" i="35"/>
  <c r="Y195" i="35"/>
  <c r="C196" i="35"/>
  <c r="O196" i="35" s="1"/>
  <c r="D196" i="35"/>
  <c r="E196" i="35"/>
  <c r="F196" i="35"/>
  <c r="G196" i="35"/>
  <c r="H196" i="35"/>
  <c r="Y196" i="35"/>
  <c r="C197" i="35"/>
  <c r="D197" i="35"/>
  <c r="E197" i="35"/>
  <c r="F197" i="35"/>
  <c r="G197" i="35"/>
  <c r="H197" i="35"/>
  <c r="Y197" i="35"/>
  <c r="C198" i="35"/>
  <c r="W198" i="35" s="1"/>
  <c r="D198" i="35"/>
  <c r="E198" i="35"/>
  <c r="F198" i="35"/>
  <c r="G198" i="35"/>
  <c r="H198" i="35"/>
  <c r="Y198" i="35"/>
  <c r="C199" i="35"/>
  <c r="O199" i="35" s="1"/>
  <c r="D199" i="35"/>
  <c r="E199" i="35"/>
  <c r="F199" i="35"/>
  <c r="G199" i="35"/>
  <c r="H199" i="35"/>
  <c r="Y199" i="35"/>
  <c r="C200" i="35"/>
  <c r="B200" i="35" s="1"/>
  <c r="D200" i="35"/>
  <c r="E200" i="35"/>
  <c r="F200" i="35"/>
  <c r="G200" i="35"/>
  <c r="H200" i="35"/>
  <c r="Y200" i="35"/>
  <c r="C201" i="35"/>
  <c r="O201" i="35" s="1"/>
  <c r="D201" i="35"/>
  <c r="E201" i="35"/>
  <c r="F201" i="35"/>
  <c r="G201" i="35"/>
  <c r="H201" i="35"/>
  <c r="Y201" i="35"/>
  <c r="C202" i="35"/>
  <c r="D202" i="35"/>
  <c r="E202" i="35"/>
  <c r="F202" i="35"/>
  <c r="G202" i="35"/>
  <c r="H202" i="35"/>
  <c r="Y202" i="35"/>
  <c r="C203" i="35"/>
  <c r="P203" i="35" s="1"/>
  <c r="D203" i="35"/>
  <c r="E203" i="35"/>
  <c r="F203" i="35"/>
  <c r="G203" i="35"/>
  <c r="H203" i="35"/>
  <c r="Y203" i="35"/>
  <c r="C204" i="35"/>
  <c r="B204" i="35" s="1"/>
  <c r="D204" i="35"/>
  <c r="E204" i="35"/>
  <c r="F204" i="35"/>
  <c r="G204" i="35"/>
  <c r="H204" i="35"/>
  <c r="Y204" i="35"/>
  <c r="C205" i="35"/>
  <c r="W205" i="35" s="1"/>
  <c r="D205" i="35"/>
  <c r="E205" i="35"/>
  <c r="F205" i="35"/>
  <c r="G205" i="35"/>
  <c r="H205" i="35"/>
  <c r="Y205" i="35"/>
  <c r="C206" i="35"/>
  <c r="W206" i="35" s="1"/>
  <c r="D206" i="35"/>
  <c r="E206" i="35"/>
  <c r="F206" i="35"/>
  <c r="G206" i="35"/>
  <c r="H206" i="35"/>
  <c r="Y206" i="35"/>
  <c r="C207" i="35"/>
  <c r="B207" i="35" s="1"/>
  <c r="D207" i="35"/>
  <c r="E207" i="35"/>
  <c r="F207" i="35"/>
  <c r="G207" i="35"/>
  <c r="H207" i="35"/>
  <c r="Y207" i="35"/>
  <c r="C208" i="35"/>
  <c r="M208" i="35" s="1"/>
  <c r="D208" i="35"/>
  <c r="E208" i="35"/>
  <c r="F208" i="35"/>
  <c r="G208" i="35"/>
  <c r="H208" i="35"/>
  <c r="Y208" i="35"/>
  <c r="C209" i="35"/>
  <c r="O209" i="35" s="1"/>
  <c r="D209" i="35"/>
  <c r="E209" i="35"/>
  <c r="F209" i="35"/>
  <c r="G209" i="35"/>
  <c r="H209" i="35"/>
  <c r="Y209" i="35"/>
  <c r="C210" i="35"/>
  <c r="D210" i="35"/>
  <c r="E210" i="35"/>
  <c r="F210" i="35"/>
  <c r="G210" i="35"/>
  <c r="H210" i="35"/>
  <c r="Y210" i="35"/>
  <c r="C211" i="35"/>
  <c r="M211" i="35" s="1"/>
  <c r="D211" i="35"/>
  <c r="E211" i="35"/>
  <c r="F211" i="35"/>
  <c r="G211" i="35"/>
  <c r="H211" i="35"/>
  <c r="Y211" i="35"/>
  <c r="C212" i="35"/>
  <c r="Q212" i="35" s="1"/>
  <c r="D212" i="35"/>
  <c r="E212" i="35"/>
  <c r="F212" i="35"/>
  <c r="G212" i="35"/>
  <c r="H212" i="35"/>
  <c r="Y212" i="35"/>
  <c r="C213" i="35"/>
  <c r="B213" i="35" s="1"/>
  <c r="D213" i="35"/>
  <c r="E213" i="35"/>
  <c r="F213" i="35"/>
  <c r="G213" i="35"/>
  <c r="H213" i="35"/>
  <c r="Y213" i="35"/>
  <c r="C214" i="35"/>
  <c r="W214" i="35" s="1"/>
  <c r="D214" i="35"/>
  <c r="E214" i="35"/>
  <c r="F214" i="35"/>
  <c r="G214" i="35"/>
  <c r="H214" i="35"/>
  <c r="Y214" i="35"/>
  <c r="C215" i="35"/>
  <c r="M215" i="35" s="1"/>
  <c r="D215" i="35"/>
  <c r="E215" i="35"/>
  <c r="F215" i="35"/>
  <c r="G215" i="35"/>
  <c r="H215" i="35"/>
  <c r="Y215" i="35"/>
  <c r="C216" i="35"/>
  <c r="P216" i="35" s="1"/>
  <c r="D216" i="35"/>
  <c r="E216" i="35"/>
  <c r="F216" i="35"/>
  <c r="G216" i="35"/>
  <c r="H216" i="35"/>
  <c r="Y216" i="35"/>
  <c r="C217" i="35"/>
  <c r="B217" i="35" s="1"/>
  <c r="D217" i="35"/>
  <c r="E217" i="35"/>
  <c r="F217" i="35"/>
  <c r="G217" i="35"/>
  <c r="H217" i="35"/>
  <c r="Y217" i="35"/>
  <c r="C218" i="35"/>
  <c r="D218" i="35"/>
  <c r="E218" i="35"/>
  <c r="F218" i="35"/>
  <c r="G218" i="35"/>
  <c r="H218" i="35"/>
  <c r="Y218" i="35"/>
  <c r="C219" i="35"/>
  <c r="W219" i="35" s="1"/>
  <c r="D219" i="35"/>
  <c r="E219" i="35"/>
  <c r="F219" i="35"/>
  <c r="G219" i="35"/>
  <c r="H219" i="35"/>
  <c r="Y219" i="35"/>
  <c r="C220" i="35"/>
  <c r="P220" i="35" s="1"/>
  <c r="D220" i="35"/>
  <c r="E220" i="35"/>
  <c r="F220" i="35"/>
  <c r="G220" i="35"/>
  <c r="H220" i="35"/>
  <c r="Y220" i="35"/>
  <c r="C221" i="35"/>
  <c r="L221" i="35" s="1"/>
  <c r="D221" i="35"/>
  <c r="E221" i="35"/>
  <c r="F221" i="35"/>
  <c r="G221" i="35"/>
  <c r="H221" i="35"/>
  <c r="Y221" i="35"/>
  <c r="C222" i="35"/>
  <c r="S222" i="35" s="1"/>
  <c r="D222" i="35"/>
  <c r="E222" i="35"/>
  <c r="F222" i="35"/>
  <c r="G222" i="35"/>
  <c r="H222" i="35"/>
  <c r="Y222" i="35"/>
  <c r="C223" i="35"/>
  <c r="M223" i="35" s="1"/>
  <c r="D223" i="35"/>
  <c r="E223" i="35"/>
  <c r="F223" i="35"/>
  <c r="G223" i="35"/>
  <c r="H223" i="35"/>
  <c r="Y223" i="35"/>
  <c r="C224" i="35"/>
  <c r="P224" i="35" s="1"/>
  <c r="D224" i="35"/>
  <c r="E224" i="35"/>
  <c r="F224" i="35"/>
  <c r="G224" i="35"/>
  <c r="H224" i="35"/>
  <c r="Y224" i="35"/>
  <c r="C225" i="35"/>
  <c r="V225" i="35" s="1"/>
  <c r="D225" i="35"/>
  <c r="E225" i="35"/>
  <c r="F225" i="35"/>
  <c r="G225" i="35"/>
  <c r="H225" i="35"/>
  <c r="Y225" i="35"/>
  <c r="C226" i="35"/>
  <c r="L226" i="35" s="1"/>
  <c r="D226" i="35"/>
  <c r="E226" i="35"/>
  <c r="F226" i="35"/>
  <c r="G226" i="35"/>
  <c r="H226" i="35"/>
  <c r="Y226" i="35"/>
  <c r="C227" i="35"/>
  <c r="B227" i="35" s="1"/>
  <c r="D227" i="35"/>
  <c r="E227" i="35"/>
  <c r="F227" i="35"/>
  <c r="G227" i="35"/>
  <c r="H227" i="35"/>
  <c r="P227" i="35"/>
  <c r="Y227" i="35"/>
  <c r="C228" i="35"/>
  <c r="M228" i="35" s="1"/>
  <c r="D228" i="35"/>
  <c r="E228" i="35"/>
  <c r="F228" i="35"/>
  <c r="G228" i="35"/>
  <c r="H228" i="35"/>
  <c r="Y228" i="35"/>
  <c r="C229" i="35"/>
  <c r="AA229" i="35" s="1"/>
  <c r="D229" i="35"/>
  <c r="E229" i="35"/>
  <c r="F229" i="35"/>
  <c r="G229" i="35"/>
  <c r="H229" i="35"/>
  <c r="Y229" i="35"/>
  <c r="J236" i="35"/>
  <c r="L236" i="35"/>
  <c r="J237" i="35"/>
  <c r="L237" i="35"/>
  <c r="J238" i="35"/>
  <c r="L238" i="35"/>
  <c r="J239" i="35"/>
  <c r="L239" i="35"/>
  <c r="J240" i="35"/>
  <c r="L240" i="35"/>
  <c r="K244" i="35"/>
  <c r="M244" i="35"/>
  <c r="T16" i="34"/>
  <c r="K17" i="34"/>
  <c r="W17" i="34"/>
  <c r="K18" i="34"/>
  <c r="W18" i="34"/>
  <c r="K19" i="34"/>
  <c r="W19" i="34"/>
  <c r="U20" i="34"/>
  <c r="K21" i="34"/>
  <c r="W21" i="34"/>
  <c r="U22" i="34"/>
  <c r="Q24" i="34"/>
  <c r="J27" i="34"/>
  <c r="M27" i="34"/>
  <c r="N27" i="34"/>
  <c r="M28" i="34"/>
  <c r="N28" i="34"/>
  <c r="M29" i="34"/>
  <c r="N29" i="34"/>
  <c r="M30" i="34"/>
  <c r="N30" i="34"/>
  <c r="M31" i="34"/>
  <c r="N31" i="34"/>
  <c r="M32" i="34"/>
  <c r="N32" i="34"/>
  <c r="M33" i="34"/>
  <c r="N33" i="34"/>
  <c r="M34" i="34"/>
  <c r="N34" i="34"/>
  <c r="M35" i="34"/>
  <c r="N35" i="34"/>
  <c r="M36" i="34"/>
  <c r="N36" i="34"/>
  <c r="M37" i="34"/>
  <c r="N37" i="34"/>
  <c r="M38" i="34"/>
  <c r="N38" i="34"/>
  <c r="M39" i="34"/>
  <c r="N39" i="34"/>
  <c r="M40" i="34"/>
  <c r="N40" i="34"/>
  <c r="M41" i="34"/>
  <c r="N41" i="34"/>
  <c r="M42" i="34"/>
  <c r="N42" i="34"/>
  <c r="M43" i="34"/>
  <c r="N43" i="34"/>
  <c r="M44" i="34"/>
  <c r="N44" i="34"/>
  <c r="M45" i="34"/>
  <c r="N45" i="34"/>
  <c r="M46" i="34"/>
  <c r="N46" i="34"/>
  <c r="M47" i="34"/>
  <c r="N47" i="34"/>
  <c r="M48" i="34"/>
  <c r="N48" i="34"/>
  <c r="M49" i="34"/>
  <c r="N49" i="34"/>
  <c r="M50" i="34"/>
  <c r="N50" i="34"/>
  <c r="M51" i="34"/>
  <c r="N51" i="34"/>
  <c r="M52" i="34"/>
  <c r="N52" i="34"/>
  <c r="M53" i="34"/>
  <c r="N53" i="34"/>
  <c r="M54" i="34"/>
  <c r="N54" i="34"/>
  <c r="M55" i="34"/>
  <c r="N55" i="34"/>
  <c r="M56" i="34"/>
  <c r="N56" i="34"/>
  <c r="M57" i="34"/>
  <c r="N57" i="34"/>
  <c r="M58" i="34"/>
  <c r="N58" i="34"/>
  <c r="M59" i="34"/>
  <c r="N59" i="34"/>
  <c r="M60" i="34"/>
  <c r="N60" i="34"/>
  <c r="M61" i="34"/>
  <c r="N61" i="34"/>
  <c r="M62" i="34"/>
  <c r="N62" i="34"/>
  <c r="M63" i="34"/>
  <c r="N63" i="34"/>
  <c r="M64" i="34"/>
  <c r="N64" i="34"/>
  <c r="M65" i="34"/>
  <c r="N65" i="34"/>
  <c r="M66" i="34"/>
  <c r="N66" i="34"/>
  <c r="M67" i="34"/>
  <c r="N67" i="34"/>
  <c r="M68" i="34"/>
  <c r="N68" i="34"/>
  <c r="M69" i="34"/>
  <c r="N69" i="34"/>
  <c r="M70" i="34"/>
  <c r="N70" i="34"/>
  <c r="M71" i="34"/>
  <c r="N71" i="34"/>
  <c r="M72" i="34"/>
  <c r="N72" i="34"/>
  <c r="M73" i="34"/>
  <c r="N73" i="34"/>
  <c r="M74" i="34"/>
  <c r="N74" i="34"/>
  <c r="M75" i="34"/>
  <c r="N75" i="34"/>
  <c r="M76" i="34"/>
  <c r="N76" i="34"/>
  <c r="M77" i="34"/>
  <c r="N77" i="34"/>
  <c r="M78" i="34"/>
  <c r="N78" i="34"/>
  <c r="M79" i="34"/>
  <c r="N79" i="34"/>
  <c r="M80" i="34"/>
  <c r="N80" i="34"/>
  <c r="M81" i="34"/>
  <c r="N81" i="34"/>
  <c r="M82" i="34"/>
  <c r="N82" i="34"/>
  <c r="M83" i="34"/>
  <c r="N83" i="34"/>
  <c r="M84" i="34"/>
  <c r="N84" i="34"/>
  <c r="M85" i="34"/>
  <c r="N85" i="34"/>
  <c r="M86" i="34"/>
  <c r="N86" i="34"/>
  <c r="M87" i="34"/>
  <c r="N87" i="34"/>
  <c r="M88" i="34"/>
  <c r="N88" i="34"/>
  <c r="M89" i="34"/>
  <c r="N89" i="34"/>
  <c r="M90" i="34"/>
  <c r="N90" i="34"/>
  <c r="M91" i="34"/>
  <c r="N91" i="34"/>
  <c r="M92" i="34"/>
  <c r="N92" i="34"/>
  <c r="M93" i="34"/>
  <c r="N93" i="34"/>
  <c r="M94" i="34"/>
  <c r="N94" i="34"/>
  <c r="M95" i="34"/>
  <c r="N95" i="34"/>
  <c r="M96" i="34"/>
  <c r="N96" i="34"/>
  <c r="M97" i="34"/>
  <c r="N97" i="34"/>
  <c r="M98" i="34"/>
  <c r="N98" i="34"/>
  <c r="M99" i="34"/>
  <c r="N99" i="34"/>
  <c r="M100" i="34"/>
  <c r="N100" i="34"/>
  <c r="M101" i="34"/>
  <c r="N101" i="34"/>
  <c r="M102" i="34"/>
  <c r="N102" i="34"/>
  <c r="M103" i="34"/>
  <c r="N103" i="34"/>
  <c r="M104" i="34"/>
  <c r="N104" i="34"/>
  <c r="M105" i="34"/>
  <c r="N105" i="34"/>
  <c r="M106" i="34"/>
  <c r="N106" i="34"/>
  <c r="M107" i="34"/>
  <c r="N107" i="34"/>
  <c r="M108" i="34"/>
  <c r="N108" i="34"/>
  <c r="M109" i="34"/>
  <c r="N109" i="34"/>
  <c r="M110" i="34"/>
  <c r="N110" i="34"/>
  <c r="M111" i="34"/>
  <c r="N111" i="34"/>
  <c r="M112" i="34"/>
  <c r="N112" i="34"/>
  <c r="M113" i="34"/>
  <c r="N113" i="34"/>
  <c r="M114" i="34"/>
  <c r="N114" i="34"/>
  <c r="M115" i="34"/>
  <c r="N115" i="34"/>
  <c r="M116" i="34"/>
  <c r="N116" i="34"/>
  <c r="M117" i="34"/>
  <c r="N117" i="34"/>
  <c r="M118" i="34"/>
  <c r="N118" i="34"/>
  <c r="M119" i="34"/>
  <c r="N119" i="34"/>
  <c r="M120" i="34"/>
  <c r="N120" i="34"/>
  <c r="M121" i="34"/>
  <c r="N121" i="34"/>
  <c r="M122" i="34"/>
  <c r="N122" i="34"/>
  <c r="M123" i="34"/>
  <c r="N123" i="34"/>
  <c r="M124" i="34"/>
  <c r="N124" i="34"/>
  <c r="M125" i="34"/>
  <c r="N125" i="34"/>
  <c r="M126" i="34"/>
  <c r="N126" i="34"/>
  <c r="M127" i="34"/>
  <c r="N127" i="34"/>
  <c r="M128" i="34"/>
  <c r="N128" i="34"/>
  <c r="M129" i="34"/>
  <c r="N129" i="34"/>
  <c r="M130" i="34"/>
  <c r="N130" i="34"/>
  <c r="M131" i="34"/>
  <c r="N131" i="34"/>
  <c r="M132" i="34"/>
  <c r="N132" i="34"/>
  <c r="M133" i="34"/>
  <c r="N133" i="34"/>
  <c r="M134" i="34"/>
  <c r="N134" i="34"/>
  <c r="M135" i="34"/>
  <c r="N135" i="34"/>
  <c r="M136" i="34"/>
  <c r="N136" i="34"/>
  <c r="M137" i="34"/>
  <c r="N137" i="34"/>
  <c r="M138" i="34"/>
  <c r="N138" i="34"/>
  <c r="M139" i="34"/>
  <c r="N139" i="34"/>
  <c r="M140" i="34"/>
  <c r="N140" i="34"/>
  <c r="M141" i="34"/>
  <c r="N141" i="34"/>
  <c r="M142" i="34"/>
  <c r="N142" i="34"/>
  <c r="M143" i="34"/>
  <c r="N143" i="34"/>
  <c r="M144" i="34"/>
  <c r="N144" i="34"/>
  <c r="M145" i="34"/>
  <c r="N145" i="34"/>
  <c r="M146" i="34"/>
  <c r="N146" i="34"/>
  <c r="M147" i="34"/>
  <c r="N147" i="34"/>
  <c r="M148" i="34"/>
  <c r="N148" i="34"/>
  <c r="M149" i="34"/>
  <c r="N149" i="34"/>
  <c r="M150" i="34"/>
  <c r="N150" i="34"/>
  <c r="M151" i="34"/>
  <c r="N151" i="34"/>
  <c r="M152" i="34"/>
  <c r="N152" i="34"/>
  <c r="M153" i="34"/>
  <c r="N153" i="34"/>
  <c r="M154" i="34"/>
  <c r="N154" i="34"/>
  <c r="M155" i="34"/>
  <c r="N155" i="34"/>
  <c r="M156" i="34"/>
  <c r="N156" i="34"/>
  <c r="M157" i="34"/>
  <c r="N157" i="34"/>
  <c r="M158" i="34"/>
  <c r="N158" i="34"/>
  <c r="M159" i="34"/>
  <c r="N159" i="34"/>
  <c r="M160" i="34"/>
  <c r="N160" i="34"/>
  <c r="M161" i="34"/>
  <c r="N161" i="34"/>
  <c r="M162" i="34"/>
  <c r="N162" i="34"/>
  <c r="M163" i="34"/>
  <c r="N163" i="34"/>
  <c r="M164" i="34"/>
  <c r="N164" i="34"/>
  <c r="M165" i="34"/>
  <c r="N165" i="34"/>
  <c r="M166" i="34"/>
  <c r="N166" i="34"/>
  <c r="M167" i="34"/>
  <c r="N167" i="34"/>
  <c r="M168" i="34"/>
  <c r="N168" i="34"/>
  <c r="M169" i="34"/>
  <c r="N169" i="34"/>
  <c r="M170" i="34"/>
  <c r="N170" i="34"/>
  <c r="M171" i="34"/>
  <c r="N171" i="34"/>
  <c r="M172" i="34"/>
  <c r="N172" i="34"/>
  <c r="M173" i="34"/>
  <c r="N173" i="34"/>
  <c r="M174" i="34"/>
  <c r="N174" i="34"/>
  <c r="M175" i="34"/>
  <c r="N175" i="34"/>
  <c r="M176" i="34"/>
  <c r="N176" i="34"/>
  <c r="M177" i="34"/>
  <c r="N177" i="34"/>
  <c r="M178" i="34"/>
  <c r="N178" i="34"/>
  <c r="M179" i="34"/>
  <c r="N179" i="34"/>
  <c r="M180" i="34"/>
  <c r="N180" i="34"/>
  <c r="M181" i="34"/>
  <c r="N181" i="34"/>
  <c r="M182" i="34"/>
  <c r="N182" i="34"/>
  <c r="M183" i="34"/>
  <c r="N183" i="34"/>
  <c r="M184" i="34"/>
  <c r="N184" i="34"/>
  <c r="M185" i="34"/>
  <c r="N185" i="34"/>
  <c r="M186" i="34"/>
  <c r="N186" i="34"/>
  <c r="M187" i="34"/>
  <c r="N187" i="34"/>
  <c r="M188" i="34"/>
  <c r="N188" i="34"/>
  <c r="M189" i="34"/>
  <c r="N189" i="34"/>
  <c r="M190" i="34"/>
  <c r="N190" i="34"/>
  <c r="M191" i="34"/>
  <c r="N191" i="34"/>
  <c r="M192" i="34"/>
  <c r="N192" i="34"/>
  <c r="M193" i="34"/>
  <c r="N193" i="34"/>
  <c r="M194" i="34"/>
  <c r="N194" i="34"/>
  <c r="M195" i="34"/>
  <c r="N195" i="34"/>
  <c r="M196" i="34"/>
  <c r="N196" i="34"/>
  <c r="M197" i="34"/>
  <c r="N197" i="34"/>
  <c r="M198" i="34"/>
  <c r="N198" i="34"/>
  <c r="M199" i="34"/>
  <c r="N199" i="34"/>
  <c r="M200" i="34"/>
  <c r="N200" i="34"/>
  <c r="M201" i="34"/>
  <c r="N201" i="34"/>
  <c r="M202" i="34"/>
  <c r="N202" i="34"/>
  <c r="M203" i="34"/>
  <c r="N203" i="34"/>
  <c r="M204" i="34"/>
  <c r="N204" i="34"/>
  <c r="M205" i="34"/>
  <c r="N205" i="34"/>
  <c r="M206" i="34"/>
  <c r="N206" i="34"/>
  <c r="M207" i="34"/>
  <c r="N207" i="34"/>
  <c r="M208" i="34"/>
  <c r="N208" i="34"/>
  <c r="M209" i="34"/>
  <c r="N209" i="34"/>
  <c r="M210" i="34"/>
  <c r="N210" i="34"/>
  <c r="M211" i="34"/>
  <c r="N211" i="34"/>
  <c r="M212" i="34"/>
  <c r="N212" i="34"/>
  <c r="M213" i="34"/>
  <c r="N213" i="34"/>
  <c r="M214" i="34"/>
  <c r="N214" i="34"/>
  <c r="M215" i="34"/>
  <c r="N215" i="34"/>
  <c r="M216" i="34"/>
  <c r="N216" i="34"/>
  <c r="M217" i="34"/>
  <c r="N217" i="34"/>
  <c r="M218" i="34"/>
  <c r="N218" i="34"/>
  <c r="M219" i="34"/>
  <c r="N219" i="34"/>
  <c r="M220" i="34"/>
  <c r="N220" i="34"/>
  <c r="M221" i="34"/>
  <c r="N221" i="34"/>
  <c r="M222" i="34"/>
  <c r="N222" i="34"/>
  <c r="M223" i="34"/>
  <c r="N223" i="34"/>
  <c r="M224" i="34"/>
  <c r="N224" i="34"/>
  <c r="M225" i="34"/>
  <c r="N225" i="34"/>
  <c r="M226" i="34"/>
  <c r="N226" i="34"/>
  <c r="S135" i="35" l="1"/>
  <c r="T67" i="35"/>
  <c r="AB55" i="35"/>
  <c r="T159" i="35"/>
  <c r="L67" i="35"/>
  <c r="T57" i="35"/>
  <c r="Q56" i="35"/>
  <c r="U30" i="35"/>
  <c r="Q227" i="35"/>
  <c r="W104" i="35"/>
  <c r="AA136" i="35"/>
  <c r="Z135" i="35"/>
  <c r="X135" i="35" s="1"/>
  <c r="P135" i="35"/>
  <c r="U130" i="35"/>
  <c r="W221" i="35"/>
  <c r="O185" i="35"/>
  <c r="S173" i="35"/>
  <c r="AA156" i="35"/>
  <c r="J135" i="35"/>
  <c r="W134" i="35"/>
  <c r="O130" i="35"/>
  <c r="W121" i="35"/>
  <c r="Z104" i="35"/>
  <c r="Q104" i="35"/>
  <c r="R80" i="35"/>
  <c r="M75" i="35"/>
  <c r="W46" i="35"/>
  <c r="O224" i="35"/>
  <c r="W223" i="35"/>
  <c r="V221" i="35"/>
  <c r="S208" i="35"/>
  <c r="S207" i="35"/>
  <c r="J173" i="35"/>
  <c r="U172" i="35"/>
  <c r="V135" i="35"/>
  <c r="R133" i="35"/>
  <c r="V131" i="35"/>
  <c r="AA130" i="35"/>
  <c r="I104" i="35"/>
  <c r="AA87" i="35"/>
  <c r="R48" i="35"/>
  <c r="T46" i="35"/>
  <c r="D13" i="34"/>
  <c r="I6" i="35" s="1"/>
  <c r="I227" i="35"/>
  <c r="P226" i="35"/>
  <c r="W185" i="35"/>
  <c r="L185" i="35"/>
  <c r="AB184" i="35"/>
  <c r="AA179" i="35"/>
  <c r="N175" i="35"/>
  <c r="W163" i="35"/>
  <c r="P159" i="35"/>
  <c r="R87" i="35"/>
  <c r="P86" i="35"/>
  <c r="N84" i="35"/>
  <c r="U83" i="35"/>
  <c r="T71" i="35"/>
  <c r="P55" i="35"/>
  <c r="Q54" i="35"/>
  <c r="L46" i="35"/>
  <c r="T36" i="35"/>
  <c r="T30" i="35"/>
  <c r="U227" i="35"/>
  <c r="M196" i="35"/>
  <c r="T185" i="35"/>
  <c r="I185" i="35"/>
  <c r="AB175" i="35"/>
  <c r="N163" i="35"/>
  <c r="AA159" i="35"/>
  <c r="O159" i="35"/>
  <c r="U149" i="35"/>
  <c r="O136" i="35"/>
  <c r="O135" i="35"/>
  <c r="AA133" i="35"/>
  <c r="M133" i="35"/>
  <c r="S130" i="35"/>
  <c r="W107" i="35"/>
  <c r="R105" i="35"/>
  <c r="M104" i="35"/>
  <c r="L86" i="35"/>
  <c r="N78" i="35"/>
  <c r="L71" i="35"/>
  <c r="T70" i="35"/>
  <c r="N67" i="35"/>
  <c r="R65" i="35"/>
  <c r="AA39" i="35"/>
  <c r="AA25" i="34"/>
  <c r="AA185" i="35"/>
  <c r="R185" i="35"/>
  <c r="T181" i="35"/>
  <c r="AB61" i="35"/>
  <c r="J221" i="35"/>
  <c r="W208" i="35"/>
  <c r="S200" i="35"/>
  <c r="V181" i="35"/>
  <c r="Z177" i="35"/>
  <c r="X177" i="35" s="1"/>
  <c r="O173" i="35"/>
  <c r="AB171" i="35"/>
  <c r="S168" i="35"/>
  <c r="P163" i="35"/>
  <c r="AA162" i="35"/>
  <c r="V159" i="35"/>
  <c r="S156" i="35"/>
  <c r="P149" i="35"/>
  <c r="O131" i="35"/>
  <c r="Q129" i="35"/>
  <c r="Z107" i="35"/>
  <c r="X107" i="35" s="1"/>
  <c r="L107" i="35"/>
  <c r="W105" i="35"/>
  <c r="R104" i="35"/>
  <c r="J104" i="35"/>
  <c r="B104" i="35"/>
  <c r="AB86" i="35"/>
  <c r="O86" i="35"/>
  <c r="U80" i="35"/>
  <c r="W78" i="35"/>
  <c r="U75" i="35"/>
  <c r="N71" i="35"/>
  <c r="P51" i="35"/>
  <c r="S50" i="35"/>
  <c r="S48" i="35"/>
  <c r="O46" i="35"/>
  <c r="B46" i="35"/>
  <c r="T42" i="35"/>
  <c r="AB37" i="35"/>
  <c r="M30" i="35"/>
  <c r="N181" i="35"/>
  <c r="Z147" i="35"/>
  <c r="X147" i="35" s="1"/>
  <c r="AA127" i="35"/>
  <c r="Z105" i="35"/>
  <c r="O105" i="35"/>
  <c r="AA104" i="35"/>
  <c r="V104" i="35"/>
  <c r="O104" i="35"/>
  <c r="W86" i="35"/>
  <c r="Z80" i="35"/>
  <c r="M80" i="35"/>
  <c r="B80" i="35"/>
  <c r="AA78" i="35"/>
  <c r="V71" i="35"/>
  <c r="N48" i="35"/>
  <c r="O36" i="35"/>
  <c r="AA221" i="35"/>
  <c r="O221" i="35"/>
  <c r="R204" i="35"/>
  <c r="Q193" i="35"/>
  <c r="L181" i="35"/>
  <c r="J105" i="35"/>
  <c r="U91" i="35"/>
  <c r="J80" i="35"/>
  <c r="W48" i="35"/>
  <c r="L48" i="35"/>
  <c r="J36" i="35"/>
  <c r="U35" i="35"/>
  <c r="R34" i="35"/>
  <c r="AA30" i="35"/>
  <c r="N30" i="35"/>
  <c r="B132" i="35"/>
  <c r="W132" i="35"/>
  <c r="O117" i="35"/>
  <c r="J117" i="35"/>
  <c r="R117" i="35"/>
  <c r="W220" i="35"/>
  <c r="L220" i="35"/>
  <c r="B220" i="35"/>
  <c r="M219" i="35"/>
  <c r="W217" i="35"/>
  <c r="S215" i="35"/>
  <c r="S214" i="35"/>
  <c r="V213" i="35"/>
  <c r="Z212" i="35"/>
  <c r="X212" i="35" s="1"/>
  <c r="Q207" i="35"/>
  <c r="P204" i="35"/>
  <c r="U203" i="35"/>
  <c r="Q200" i="35"/>
  <c r="W199" i="35"/>
  <c r="Z193" i="35"/>
  <c r="X193" i="35" s="1"/>
  <c r="P193" i="35"/>
  <c r="AA181" i="35"/>
  <c r="R181" i="35"/>
  <c r="I181" i="35"/>
  <c r="K181" i="35" s="1"/>
  <c r="P179" i="35"/>
  <c r="P177" i="35"/>
  <c r="Q176" i="35"/>
  <c r="L175" i="35"/>
  <c r="R169" i="35"/>
  <c r="W169" i="35"/>
  <c r="W160" i="35"/>
  <c r="S160" i="35"/>
  <c r="I157" i="35"/>
  <c r="M157" i="35"/>
  <c r="I150" i="35"/>
  <c r="W150" i="35"/>
  <c r="M149" i="35"/>
  <c r="S145" i="35"/>
  <c r="P143" i="35"/>
  <c r="B143" i="35"/>
  <c r="N143" i="35"/>
  <c r="AA143" i="35"/>
  <c r="L139" i="35"/>
  <c r="O139" i="35"/>
  <c r="AB137" i="35"/>
  <c r="Q133" i="35"/>
  <c r="I133" i="35"/>
  <c r="AA131" i="35"/>
  <c r="T131" i="35"/>
  <c r="N131" i="35"/>
  <c r="L130" i="35"/>
  <c r="Q130" i="35"/>
  <c r="AA117" i="35"/>
  <c r="V109" i="35"/>
  <c r="O64" i="35"/>
  <c r="B64" i="35"/>
  <c r="Q64" i="35"/>
  <c r="O61" i="35"/>
  <c r="W61" i="35"/>
  <c r="J61" i="35"/>
  <c r="R61" i="35"/>
  <c r="L61" i="35"/>
  <c r="S61" i="35"/>
  <c r="AA61" i="35"/>
  <c r="U33" i="35"/>
  <c r="O220" i="35"/>
  <c r="O138" i="35"/>
  <c r="Q138" i="35"/>
  <c r="T59" i="35"/>
  <c r="L59" i="35"/>
  <c r="P59" i="35"/>
  <c r="Z59" i="35"/>
  <c r="X59" i="35" s="1"/>
  <c r="W227" i="35"/>
  <c r="M227" i="35"/>
  <c r="W224" i="35"/>
  <c r="N221" i="35"/>
  <c r="B221" i="35"/>
  <c r="T220" i="35"/>
  <c r="J220" i="35"/>
  <c r="L219" i="35"/>
  <c r="N217" i="35"/>
  <c r="N213" i="35"/>
  <c r="AB204" i="35"/>
  <c r="M203" i="35"/>
  <c r="T199" i="35"/>
  <c r="L193" i="35"/>
  <c r="T191" i="35"/>
  <c r="AB187" i="35"/>
  <c r="P181" i="35"/>
  <c r="W175" i="35"/>
  <c r="S161" i="35"/>
  <c r="O161" i="35"/>
  <c r="I159" i="35"/>
  <c r="J159" i="35"/>
  <c r="S159" i="35"/>
  <c r="Z159" i="35"/>
  <c r="X159" i="35" s="1"/>
  <c r="S143" i="35"/>
  <c r="W140" i="35"/>
  <c r="S140" i="35"/>
  <c r="V133" i="35"/>
  <c r="O132" i="35"/>
  <c r="Z131" i="35"/>
  <c r="X131" i="35" s="1"/>
  <c r="W130" i="35"/>
  <c r="M130" i="35"/>
  <c r="L121" i="35"/>
  <c r="J121" i="35"/>
  <c r="R115" i="35"/>
  <c r="P115" i="35"/>
  <c r="W115" i="35"/>
  <c r="Q108" i="35"/>
  <c r="V108" i="35"/>
  <c r="B75" i="35"/>
  <c r="P75" i="35"/>
  <c r="W75" i="35"/>
  <c r="J75" i="35"/>
  <c r="Q75" i="35"/>
  <c r="L75" i="35"/>
  <c r="S75" i="35"/>
  <c r="Z75" i="35"/>
  <c r="X75" i="35" s="1"/>
  <c r="T61" i="35"/>
  <c r="Q59" i="35"/>
  <c r="Q219" i="35"/>
  <c r="I126" i="35"/>
  <c r="AA126" i="35"/>
  <c r="L126" i="35"/>
  <c r="B68" i="35"/>
  <c r="AA68" i="35"/>
  <c r="J68" i="35"/>
  <c r="S68" i="35"/>
  <c r="B33" i="35"/>
  <c r="P33" i="35"/>
  <c r="I33" i="35"/>
  <c r="S33" i="35"/>
  <c r="AA33" i="35"/>
  <c r="M33" i="35"/>
  <c r="T33" i="35"/>
  <c r="AB33" i="35"/>
  <c r="AB220" i="35"/>
  <c r="S220" i="35"/>
  <c r="T193" i="35"/>
  <c r="L162" i="35"/>
  <c r="O162" i="35"/>
  <c r="I147" i="35"/>
  <c r="O147" i="35"/>
  <c r="L146" i="35"/>
  <c r="W146" i="35"/>
  <c r="O134" i="35"/>
  <c r="I134" i="35"/>
  <c r="B133" i="35"/>
  <c r="N133" i="35"/>
  <c r="T133" i="35"/>
  <c r="Z133" i="35"/>
  <c r="X133" i="35" s="1"/>
  <c r="I131" i="35"/>
  <c r="J131" i="35"/>
  <c r="R131" i="35"/>
  <c r="W131" i="35"/>
  <c r="AB131" i="35"/>
  <c r="Q125" i="35"/>
  <c r="W125" i="35"/>
  <c r="R119" i="35"/>
  <c r="P99" i="35"/>
  <c r="U99" i="35"/>
  <c r="L99" i="35"/>
  <c r="B99" i="35"/>
  <c r="M99" i="35"/>
  <c r="AB99" i="35"/>
  <c r="B34" i="35"/>
  <c r="N34" i="35"/>
  <c r="T34" i="35"/>
  <c r="Z34" i="35"/>
  <c r="X34" i="35" s="1"/>
  <c r="I34" i="35"/>
  <c r="P34" i="35"/>
  <c r="U34" i="35"/>
  <c r="AA34" i="35"/>
  <c r="L34" i="35"/>
  <c r="Q34" i="35"/>
  <c r="V34" i="35"/>
  <c r="S32" i="35"/>
  <c r="AA32" i="35"/>
  <c r="S104" i="35"/>
  <c r="N104" i="35"/>
  <c r="P103" i="35"/>
  <c r="P91" i="35"/>
  <c r="W80" i="35"/>
  <c r="Q80" i="35"/>
  <c r="I80" i="35"/>
  <c r="L70" i="35"/>
  <c r="AA67" i="35"/>
  <c r="R67" i="35"/>
  <c r="I67" i="35"/>
  <c r="J65" i="35"/>
  <c r="L54" i="35"/>
  <c r="AB46" i="35"/>
  <c r="S46" i="35"/>
  <c r="J46" i="35"/>
  <c r="L42" i="35"/>
  <c r="W41" i="35"/>
  <c r="J39" i="35"/>
  <c r="U37" i="35"/>
  <c r="Z30" i="35"/>
  <c r="X30" i="35" s="1"/>
  <c r="R30" i="35"/>
  <c r="I30" i="35"/>
  <c r="AA80" i="35"/>
  <c r="V80" i="35"/>
  <c r="AA70" i="35"/>
  <c r="P67" i="35"/>
  <c r="P46" i="35"/>
  <c r="P30" i="35"/>
  <c r="M180" i="35"/>
  <c r="AB180" i="35"/>
  <c r="L180" i="35"/>
  <c r="O170" i="35"/>
  <c r="M170" i="35"/>
  <c r="U170" i="35"/>
  <c r="J96" i="35"/>
  <c r="O96" i="35"/>
  <c r="Z96" i="35"/>
  <c r="X96" i="35" s="1"/>
  <c r="U96" i="35"/>
  <c r="L228" i="35"/>
  <c r="S211" i="35"/>
  <c r="R209" i="35"/>
  <c r="J208" i="35"/>
  <c r="W207" i="35"/>
  <c r="L207" i="35"/>
  <c r="V204" i="35"/>
  <c r="J204" i="35"/>
  <c r="W200" i="35"/>
  <c r="L200" i="35"/>
  <c r="M199" i="35"/>
  <c r="N191" i="35"/>
  <c r="P189" i="35"/>
  <c r="Q186" i="35"/>
  <c r="L184" i="35"/>
  <c r="AA183" i="35"/>
  <c r="Q182" i="35"/>
  <c r="N124" i="35"/>
  <c r="V124" i="35"/>
  <c r="I119" i="35"/>
  <c r="P119" i="35"/>
  <c r="U119" i="35"/>
  <c r="AA119" i="35"/>
  <c r="L119" i="35"/>
  <c r="Q119" i="35"/>
  <c r="V119" i="35"/>
  <c r="N119" i="35"/>
  <c r="T119" i="35"/>
  <c r="Z119" i="35"/>
  <c r="X119" i="35" s="1"/>
  <c r="L94" i="35"/>
  <c r="T94" i="35"/>
  <c r="J83" i="35"/>
  <c r="S83" i="35"/>
  <c r="AA83" i="35"/>
  <c r="M83" i="35"/>
  <c r="T83" i="35"/>
  <c r="AB83" i="35"/>
  <c r="P83" i="35"/>
  <c r="P79" i="35"/>
  <c r="M79" i="35"/>
  <c r="U79" i="35"/>
  <c r="I88" i="35"/>
  <c r="S88" i="35"/>
  <c r="M88" i="35"/>
  <c r="U88" i="35"/>
  <c r="R88" i="35"/>
  <c r="Z88" i="35"/>
  <c r="X88" i="35" s="1"/>
  <c r="Q223" i="35"/>
  <c r="W195" i="35"/>
  <c r="S183" i="35"/>
  <c r="B183" i="35"/>
  <c r="Q164" i="35"/>
  <c r="O164" i="35"/>
  <c r="L158" i="35"/>
  <c r="I158" i="35"/>
  <c r="AA158" i="35"/>
  <c r="Q158" i="35"/>
  <c r="Q154" i="35"/>
  <c r="O154" i="35"/>
  <c r="I127" i="35"/>
  <c r="V127" i="35"/>
  <c r="N127" i="35"/>
  <c r="S127" i="35"/>
  <c r="Q122" i="35"/>
  <c r="O122" i="35"/>
  <c r="M92" i="35"/>
  <c r="S92" i="35"/>
  <c r="O85" i="35"/>
  <c r="W85" i="35"/>
  <c r="AA85" i="35"/>
  <c r="O81" i="35"/>
  <c r="S81" i="35"/>
  <c r="W81" i="35"/>
  <c r="AA96" i="35"/>
  <c r="M95" i="35"/>
  <c r="N95" i="35"/>
  <c r="Z95" i="35"/>
  <c r="X95" i="35" s="1"/>
  <c r="U95" i="35"/>
  <c r="M63" i="35"/>
  <c r="L63" i="35"/>
  <c r="Q63" i="35"/>
  <c r="B38" i="35"/>
  <c r="I38" i="35"/>
  <c r="R38" i="35"/>
  <c r="AA38" i="35"/>
  <c r="L38" i="35"/>
  <c r="T38" i="35"/>
  <c r="P38" i="35"/>
  <c r="W228" i="35"/>
  <c r="L223" i="35"/>
  <c r="O222" i="35"/>
  <c r="Z221" i="35"/>
  <c r="S221" i="35"/>
  <c r="P212" i="35"/>
  <c r="T211" i="35"/>
  <c r="W209" i="35"/>
  <c r="AB208" i="35"/>
  <c r="O208" i="35"/>
  <c r="M207" i="35"/>
  <c r="W204" i="35"/>
  <c r="L204" i="35"/>
  <c r="M200" i="35"/>
  <c r="O195" i="35"/>
  <c r="S191" i="35"/>
  <c r="W184" i="35"/>
  <c r="AB183" i="35"/>
  <c r="W180" i="35"/>
  <c r="B179" i="35"/>
  <c r="J179" i="35"/>
  <c r="V179" i="35"/>
  <c r="N179" i="35"/>
  <c r="M169" i="35"/>
  <c r="I169" i="35"/>
  <c r="O169" i="35"/>
  <c r="T169" i="35"/>
  <c r="AA169" i="35"/>
  <c r="B169" i="35"/>
  <c r="J169" i="35"/>
  <c r="P169" i="35"/>
  <c r="V169" i="35"/>
  <c r="AB169" i="35"/>
  <c r="N169" i="35"/>
  <c r="S169" i="35"/>
  <c r="M165" i="35"/>
  <c r="L165" i="35"/>
  <c r="P165" i="35"/>
  <c r="L155" i="35"/>
  <c r="O155" i="35"/>
  <c r="S155" i="35"/>
  <c r="Z155" i="35"/>
  <c r="X155" i="35" s="1"/>
  <c r="J151" i="35"/>
  <c r="O151" i="35"/>
  <c r="V151" i="35"/>
  <c r="T123" i="35"/>
  <c r="S123" i="35"/>
  <c r="L118" i="35"/>
  <c r="W118" i="35"/>
  <c r="R96" i="35"/>
  <c r="R95" i="35"/>
  <c r="N88" i="35"/>
  <c r="I84" i="35"/>
  <c r="R84" i="35"/>
  <c r="M84" i="35"/>
  <c r="S84" i="35"/>
  <c r="Z84" i="35"/>
  <c r="X84" i="35" s="1"/>
  <c r="O84" i="35"/>
  <c r="W84" i="35"/>
  <c r="O44" i="35"/>
  <c r="T44" i="35"/>
  <c r="W44" i="35"/>
  <c r="U43" i="35"/>
  <c r="J43" i="35"/>
  <c r="B43" i="35"/>
  <c r="O43" i="35"/>
  <c r="Z43" i="35"/>
  <c r="X43" i="35" s="1"/>
  <c r="V43" i="35"/>
  <c r="N38" i="35"/>
  <c r="T173" i="35"/>
  <c r="S171" i="35"/>
  <c r="L167" i="35"/>
  <c r="AB163" i="35"/>
  <c r="V163" i="35"/>
  <c r="J163" i="35"/>
  <c r="T149" i="35"/>
  <c r="L149" i="35"/>
  <c r="W148" i="35"/>
  <c r="N147" i="35"/>
  <c r="R145" i="35"/>
  <c r="R143" i="35"/>
  <c r="J143" i="35"/>
  <c r="I129" i="35"/>
  <c r="L125" i="35"/>
  <c r="L115" i="35"/>
  <c r="Q99" i="35"/>
  <c r="J99" i="35"/>
  <c r="O97" i="35"/>
  <c r="AA91" i="35"/>
  <c r="I91" i="35"/>
  <c r="L90" i="35"/>
  <c r="AA71" i="35"/>
  <c r="R71" i="35"/>
  <c r="I71" i="35"/>
  <c r="K71" i="35" s="1"/>
  <c r="J56" i="35"/>
  <c r="AA48" i="35"/>
  <c r="V48" i="35"/>
  <c r="Q48" i="35"/>
  <c r="J48" i="35"/>
  <c r="AA46" i="35"/>
  <c r="V46" i="35"/>
  <c r="R46" i="35"/>
  <c r="N46" i="35"/>
  <c r="I46" i="35"/>
  <c r="L41" i="35"/>
  <c r="AA163" i="35"/>
  <c r="R163" i="35"/>
  <c r="Z149" i="35"/>
  <c r="X149" i="35" s="1"/>
  <c r="Q149" i="35"/>
  <c r="T147" i="35"/>
  <c r="Q146" i="35"/>
  <c r="AA145" i="35"/>
  <c r="W143" i="35"/>
  <c r="AA135" i="35"/>
  <c r="T135" i="35"/>
  <c r="AA134" i="35"/>
  <c r="AB133" i="35"/>
  <c r="W133" i="35"/>
  <c r="S133" i="35"/>
  <c r="O133" i="35"/>
  <c r="J133" i="35"/>
  <c r="S132" i="35"/>
  <c r="L131" i="35"/>
  <c r="B131" i="35"/>
  <c r="AB129" i="35"/>
  <c r="W99" i="35"/>
  <c r="P71" i="35"/>
  <c r="W55" i="35"/>
  <c r="Z48" i="35"/>
  <c r="X48" i="35" s="1"/>
  <c r="U48" i="35"/>
  <c r="Z46" i="35"/>
  <c r="X46" i="35" s="1"/>
  <c r="U46" i="35"/>
  <c r="Q46" i="35"/>
  <c r="U39" i="35"/>
  <c r="R228" i="35"/>
  <c r="S223" i="35"/>
  <c r="AB222" i="35"/>
  <c r="P222" i="35"/>
  <c r="V217" i="35"/>
  <c r="AA213" i="35"/>
  <c r="W213" i="35"/>
  <c r="O213" i="35"/>
  <c r="T208" i="35"/>
  <c r="P208" i="35"/>
  <c r="L208" i="35"/>
  <c r="B208" i="35"/>
  <c r="S196" i="35"/>
  <c r="V186" i="35"/>
  <c r="AB185" i="35"/>
  <c r="V185" i="35"/>
  <c r="S185" i="35"/>
  <c r="P185" i="35"/>
  <c r="N185" i="35"/>
  <c r="J185" i="35"/>
  <c r="B185" i="35"/>
  <c r="Q184" i="35"/>
  <c r="AA182" i="35"/>
  <c r="V182" i="35"/>
  <c r="AB181" i="35"/>
  <c r="Z181" i="35"/>
  <c r="X181" i="35" s="1"/>
  <c r="W181" i="35"/>
  <c r="U181" i="35"/>
  <c r="S181" i="35"/>
  <c r="Q181" i="35"/>
  <c r="O181" i="35"/>
  <c r="M181" i="35"/>
  <c r="J181" i="35"/>
  <c r="Q180" i="35"/>
  <c r="AB179" i="35"/>
  <c r="Z179" i="35"/>
  <c r="X179" i="35" s="1"/>
  <c r="W179" i="35"/>
  <c r="T179" i="35"/>
  <c r="R179" i="35"/>
  <c r="O179" i="35"/>
  <c r="L179" i="35"/>
  <c r="AA168" i="35"/>
  <c r="U168" i="35"/>
  <c r="O168" i="35"/>
  <c r="R167" i="35"/>
  <c r="W164" i="35"/>
  <c r="S158" i="35"/>
  <c r="O158" i="35"/>
  <c r="Z157" i="35"/>
  <c r="X157" i="35" s="1"/>
  <c r="T157" i="35"/>
  <c r="N157" i="35"/>
  <c r="AA152" i="35"/>
  <c r="P151" i="35"/>
  <c r="Z139" i="35"/>
  <c r="X139" i="35" s="1"/>
  <c r="S139" i="35"/>
  <c r="Z129" i="35"/>
  <c r="X129" i="35" s="1"/>
  <c r="T129" i="35"/>
  <c r="O129" i="35"/>
  <c r="Z126" i="35"/>
  <c r="X126" i="35" s="1"/>
  <c r="V126" i="35"/>
  <c r="O126" i="35"/>
  <c r="O125" i="35"/>
  <c r="T121" i="35"/>
  <c r="AA120" i="35"/>
  <c r="L113" i="35"/>
  <c r="V113" i="35"/>
  <c r="AA113" i="35"/>
  <c r="N109" i="35"/>
  <c r="P109" i="35"/>
  <c r="W109" i="35"/>
  <c r="AA109" i="35"/>
  <c r="T107" i="35"/>
  <c r="AA97" i="35"/>
  <c r="B92" i="35"/>
  <c r="N92" i="35"/>
  <c r="R91" i="35"/>
  <c r="AA90" i="35"/>
  <c r="N111" i="35"/>
  <c r="S111" i="35"/>
  <c r="M110" i="35"/>
  <c r="S110" i="35"/>
  <c r="AB110" i="35"/>
  <c r="J107" i="35"/>
  <c r="B107" i="35"/>
  <c r="M107" i="35"/>
  <c r="P107" i="35"/>
  <c r="S107" i="35"/>
  <c r="U107" i="35"/>
  <c r="AB107" i="35"/>
  <c r="I97" i="35"/>
  <c r="S97" i="35"/>
  <c r="L91" i="35"/>
  <c r="N91" i="35"/>
  <c r="Q91" i="35"/>
  <c r="T91" i="35"/>
  <c r="V91" i="35"/>
  <c r="Z91" i="35"/>
  <c r="X91" i="35" s="1"/>
  <c r="P90" i="35"/>
  <c r="AB90" i="35"/>
  <c r="P78" i="35"/>
  <c r="V78" i="35"/>
  <c r="AB71" i="35"/>
  <c r="Z71" i="35"/>
  <c r="X71" i="35" s="1"/>
  <c r="W71" i="35"/>
  <c r="U71" i="35"/>
  <c r="S71" i="35"/>
  <c r="Q71" i="35"/>
  <c r="O71" i="35"/>
  <c r="M71" i="35"/>
  <c r="J71" i="35"/>
  <c r="Q70" i="35"/>
  <c r="Z68" i="35"/>
  <c r="X68" i="35" s="1"/>
  <c r="U68" i="35"/>
  <c r="Q68" i="35"/>
  <c r="AB67" i="35"/>
  <c r="Z67" i="35"/>
  <c r="X67" i="35" s="1"/>
  <c r="W67" i="35"/>
  <c r="U67" i="35"/>
  <c r="S67" i="35"/>
  <c r="Q67" i="35"/>
  <c r="O67" i="35"/>
  <c r="M67" i="35"/>
  <c r="J67" i="35"/>
  <c r="K67" i="35" s="1"/>
  <c r="AB65" i="35"/>
  <c r="T65" i="35"/>
  <c r="O65" i="35"/>
  <c r="Z63" i="35"/>
  <c r="X63" i="35" s="1"/>
  <c r="T63" i="35"/>
  <c r="P63" i="35"/>
  <c r="Z56" i="35"/>
  <c r="V56" i="35"/>
  <c r="O56" i="35"/>
  <c r="B56" i="35"/>
  <c r="S55" i="35"/>
  <c r="AA54" i="35"/>
  <c r="W54" i="35"/>
  <c r="P54" i="35"/>
  <c r="AB45" i="35"/>
  <c r="P42" i="35"/>
  <c r="Z39" i="35"/>
  <c r="V39" i="35"/>
  <c r="Q39" i="35"/>
  <c r="AB38" i="35"/>
  <c r="Z38" i="35"/>
  <c r="X38" i="35" s="1"/>
  <c r="W38" i="35"/>
  <c r="U38" i="35"/>
  <c r="S38" i="35"/>
  <c r="Q38" i="35"/>
  <c r="O38" i="35"/>
  <c r="M38" i="35"/>
  <c r="J38" i="35"/>
  <c r="AB36" i="35"/>
  <c r="W36" i="35"/>
  <c r="R36" i="35"/>
  <c r="N36" i="35"/>
  <c r="S228" i="35"/>
  <c r="N228" i="35"/>
  <c r="AA226" i="35"/>
  <c r="S226" i="35"/>
  <c r="Z216" i="35"/>
  <c r="X216" i="35" s="1"/>
  <c r="M204" i="35"/>
  <c r="Q204" i="35"/>
  <c r="U204" i="35"/>
  <c r="Z204" i="35"/>
  <c r="X204" i="35" s="1"/>
  <c r="W203" i="35"/>
  <c r="I200" i="35"/>
  <c r="N200" i="35"/>
  <c r="R200" i="35"/>
  <c r="V200" i="35"/>
  <c r="AA200" i="35"/>
  <c r="B199" i="35"/>
  <c r="I199" i="35"/>
  <c r="P199" i="35"/>
  <c r="U199" i="35"/>
  <c r="AB199" i="35"/>
  <c r="Z196" i="35"/>
  <c r="X196" i="35" s="1"/>
  <c r="T196" i="35"/>
  <c r="B195" i="35"/>
  <c r="I195" i="35"/>
  <c r="P195" i="35"/>
  <c r="U195" i="35"/>
  <c r="AB195" i="35"/>
  <c r="L195" i="35"/>
  <c r="O183" i="35"/>
  <c r="P183" i="35"/>
  <c r="W183" i="35"/>
  <c r="J183" i="35"/>
  <c r="R183" i="35"/>
  <c r="B203" i="35"/>
  <c r="O203" i="35"/>
  <c r="T203" i="35"/>
  <c r="AA203" i="35"/>
  <c r="I196" i="35"/>
  <c r="N196" i="35"/>
  <c r="R196" i="35"/>
  <c r="V196" i="35"/>
  <c r="AA196" i="35"/>
  <c r="Q188" i="35"/>
  <c r="W188" i="35"/>
  <c r="V229" i="35"/>
  <c r="AB228" i="35"/>
  <c r="V228" i="35"/>
  <c r="P228" i="35"/>
  <c r="J228" i="35"/>
  <c r="B228" i="35"/>
  <c r="W226" i="35"/>
  <c r="O226" i="35"/>
  <c r="W222" i="35"/>
  <c r="L222" i="35"/>
  <c r="Q216" i="35"/>
  <c r="AA208" i="35"/>
  <c r="V208" i="35"/>
  <c r="R208" i="35"/>
  <c r="N208" i="35"/>
  <c r="I208" i="35"/>
  <c r="AB207" i="35"/>
  <c r="U207" i="35"/>
  <c r="P207" i="35"/>
  <c r="I207" i="35"/>
  <c r="AA204" i="35"/>
  <c r="T204" i="35"/>
  <c r="O204" i="35"/>
  <c r="I204" i="35"/>
  <c r="AB203" i="35"/>
  <c r="S203" i="35"/>
  <c r="L203" i="35"/>
  <c r="W201" i="35"/>
  <c r="AB200" i="35"/>
  <c r="U200" i="35"/>
  <c r="P200" i="35"/>
  <c r="J200" i="35"/>
  <c r="AA199" i="35"/>
  <c r="S199" i="35"/>
  <c r="L199" i="35"/>
  <c r="R197" i="35"/>
  <c r="W197" i="35"/>
  <c r="W196" i="35"/>
  <c r="Q196" i="35"/>
  <c r="L196" i="35"/>
  <c r="B196" i="35"/>
  <c r="T195" i="35"/>
  <c r="M195" i="35"/>
  <c r="L183" i="35"/>
  <c r="N229" i="35"/>
  <c r="AA228" i="35"/>
  <c r="T228" i="35"/>
  <c r="O228" i="35"/>
  <c r="I228" i="35"/>
  <c r="K228" i="35" s="1"/>
  <c r="AB227" i="35"/>
  <c r="S227" i="35"/>
  <c r="L227" i="35"/>
  <c r="AB226" i="35"/>
  <c r="T226" i="35"/>
  <c r="T222" i="35"/>
  <c r="AA217" i="35"/>
  <c r="O217" i="35"/>
  <c r="T215" i="35"/>
  <c r="Z208" i="35"/>
  <c r="X208" i="35" s="1"/>
  <c r="U208" i="35"/>
  <c r="Q208" i="35"/>
  <c r="AA207" i="35"/>
  <c r="T207" i="35"/>
  <c r="O207" i="35"/>
  <c r="S204" i="35"/>
  <c r="N204" i="35"/>
  <c r="Q203" i="35"/>
  <c r="I203" i="35"/>
  <c r="R201" i="35"/>
  <c r="Z200" i="35"/>
  <c r="X200" i="35" s="1"/>
  <c r="T200" i="35"/>
  <c r="O200" i="35"/>
  <c r="Q199" i="35"/>
  <c r="AB196" i="35"/>
  <c r="U196" i="35"/>
  <c r="P196" i="35"/>
  <c r="J196" i="35"/>
  <c r="AA195" i="35"/>
  <c r="S195" i="35"/>
  <c r="W189" i="35"/>
  <c r="V183" i="35"/>
  <c r="W176" i="35"/>
  <c r="I175" i="35"/>
  <c r="O175" i="35"/>
  <c r="T175" i="35"/>
  <c r="Z175" i="35"/>
  <c r="X175" i="35" s="1"/>
  <c r="J175" i="35"/>
  <c r="P175" i="35"/>
  <c r="V175" i="35"/>
  <c r="AA175" i="35"/>
  <c r="AA103" i="35"/>
  <c r="AB94" i="35"/>
  <c r="B90" i="35"/>
  <c r="O90" i="35"/>
  <c r="W90" i="35"/>
  <c r="L80" i="35"/>
  <c r="N80" i="35"/>
  <c r="S80" i="35"/>
  <c r="W79" i="35"/>
  <c r="I75" i="35"/>
  <c r="K75" i="35" s="1"/>
  <c r="N75" i="35"/>
  <c r="R75" i="35"/>
  <c r="V75" i="35"/>
  <c r="AA75" i="35"/>
  <c r="U166" i="35"/>
  <c r="AB165" i="35"/>
  <c r="W165" i="35"/>
  <c r="S165" i="35"/>
  <c r="O165" i="35"/>
  <c r="J165" i="35"/>
  <c r="B165" i="35"/>
  <c r="U164" i="35"/>
  <c r="M164" i="35"/>
  <c r="W161" i="35"/>
  <c r="L161" i="35"/>
  <c r="B161" i="35"/>
  <c r="AA142" i="35"/>
  <c r="B115" i="35"/>
  <c r="J103" i="35"/>
  <c r="Q103" i="35"/>
  <c r="O102" i="35"/>
  <c r="AA102" i="35"/>
  <c r="O79" i="35"/>
  <c r="T79" i="35"/>
  <c r="AA79" i="35"/>
  <c r="O73" i="35"/>
  <c r="AA73" i="35"/>
  <c r="N73" i="35"/>
  <c r="O172" i="35"/>
  <c r="M166" i="35"/>
  <c r="AA165" i="35"/>
  <c r="V165" i="35"/>
  <c r="R165" i="35"/>
  <c r="N165" i="35"/>
  <c r="I165" i="35"/>
  <c r="AA164" i="35"/>
  <c r="S164" i="35"/>
  <c r="I164" i="35"/>
  <c r="W162" i="35"/>
  <c r="M162" i="35"/>
  <c r="AB161" i="35"/>
  <c r="T161" i="35"/>
  <c r="J161" i="35"/>
  <c r="V157" i="35"/>
  <c r="Q157" i="35"/>
  <c r="L157" i="35"/>
  <c r="W155" i="35"/>
  <c r="N155" i="35"/>
  <c r="B155" i="35"/>
  <c r="W152" i="35"/>
  <c r="AA151" i="35"/>
  <c r="T151" i="35"/>
  <c r="N151" i="35"/>
  <c r="AA150" i="35"/>
  <c r="O150" i="35"/>
  <c r="AB149" i="35"/>
  <c r="W149" i="35"/>
  <c r="S149" i="35"/>
  <c r="O149" i="35"/>
  <c r="J149" i="35"/>
  <c r="K149" i="35" s="1"/>
  <c r="B149" i="35"/>
  <c r="S148" i="35"/>
  <c r="AB147" i="35"/>
  <c r="W147" i="35"/>
  <c r="R147" i="35"/>
  <c r="L147" i="35"/>
  <c r="B147" i="35"/>
  <c r="U146" i="35"/>
  <c r="M146" i="35"/>
  <c r="T141" i="35"/>
  <c r="W139" i="35"/>
  <c r="N139" i="35"/>
  <c r="B139" i="35"/>
  <c r="R137" i="35"/>
  <c r="R126" i="35"/>
  <c r="J126" i="35"/>
  <c r="K126" i="35" s="1"/>
  <c r="B126" i="35"/>
  <c r="T125" i="35"/>
  <c r="I125" i="35"/>
  <c r="Q120" i="35"/>
  <c r="Q118" i="35"/>
  <c r="V115" i="35"/>
  <c r="J115" i="35"/>
  <c r="O113" i="35"/>
  <c r="B113" i="35"/>
  <c r="L111" i="35"/>
  <c r="L110" i="35"/>
  <c r="Z109" i="35"/>
  <c r="X109" i="35" s="1"/>
  <c r="T109" i="35"/>
  <c r="L109" i="35"/>
  <c r="B109" i="35"/>
  <c r="R108" i="35"/>
  <c r="W103" i="35"/>
  <c r="M103" i="35"/>
  <c r="B103" i="35"/>
  <c r="P94" i="35"/>
  <c r="AA94" i="35"/>
  <c r="W89" i="35"/>
  <c r="I81" i="35"/>
  <c r="V81" i="35"/>
  <c r="AA81" i="35"/>
  <c r="K80" i="35"/>
  <c r="AB79" i="35"/>
  <c r="S79" i="35"/>
  <c r="L79" i="35"/>
  <c r="B79" i="35"/>
  <c r="U193" i="35"/>
  <c r="Z191" i="35"/>
  <c r="X191" i="35" s="1"/>
  <c r="W173" i="35"/>
  <c r="L173" i="35"/>
  <c r="W168" i="35"/>
  <c r="M168" i="35"/>
  <c r="AB167" i="35"/>
  <c r="N167" i="35"/>
  <c r="Z165" i="35"/>
  <c r="X165" i="35" s="1"/>
  <c r="U165" i="35"/>
  <c r="Q165" i="35"/>
  <c r="Z163" i="35"/>
  <c r="X163" i="35" s="1"/>
  <c r="S163" i="35"/>
  <c r="L163" i="35"/>
  <c r="B163" i="35"/>
  <c r="U162" i="35"/>
  <c r="I162" i="35"/>
  <c r="AA161" i="35"/>
  <c r="AB159" i="35"/>
  <c r="W159" i="35"/>
  <c r="R159" i="35"/>
  <c r="L159" i="35"/>
  <c r="B159" i="35"/>
  <c r="U158" i="35"/>
  <c r="M158" i="35"/>
  <c r="AB157" i="35"/>
  <c r="U157" i="35"/>
  <c r="P157" i="35"/>
  <c r="AB155" i="35"/>
  <c r="T155" i="35"/>
  <c r="Z151" i="35"/>
  <c r="X151" i="35" s="1"/>
  <c r="S151" i="35"/>
  <c r="AA149" i="35"/>
  <c r="V149" i="35"/>
  <c r="R149" i="35"/>
  <c r="N149" i="35"/>
  <c r="AA148" i="35"/>
  <c r="O148" i="35"/>
  <c r="AA147" i="35"/>
  <c r="V147" i="35"/>
  <c r="P147" i="35"/>
  <c r="J147" i="35"/>
  <c r="AA146" i="35"/>
  <c r="S146" i="35"/>
  <c r="I146" i="35"/>
  <c r="AB139" i="35"/>
  <c r="T139" i="35"/>
  <c r="V129" i="35"/>
  <c r="W126" i="35"/>
  <c r="P126" i="35"/>
  <c r="AB125" i="35"/>
  <c r="W124" i="35"/>
  <c r="AB115" i="35"/>
  <c r="W113" i="35"/>
  <c r="W111" i="35"/>
  <c r="W110" i="35"/>
  <c r="R109" i="35"/>
  <c r="J109" i="35"/>
  <c r="AA108" i="35"/>
  <c r="AB103" i="35"/>
  <c r="U103" i="35"/>
  <c r="L103" i="35"/>
  <c r="O99" i="35"/>
  <c r="T99" i="35"/>
  <c r="AA99" i="35"/>
  <c r="B96" i="35"/>
  <c r="M96" i="35"/>
  <c r="V96" i="35"/>
  <c r="I95" i="35"/>
  <c r="T95" i="35"/>
  <c r="S94" i="35"/>
  <c r="J92" i="35"/>
  <c r="V92" i="35"/>
  <c r="B91" i="35"/>
  <c r="J91" i="35"/>
  <c r="O91" i="35"/>
  <c r="S91" i="35"/>
  <c r="W91" i="35"/>
  <c r="AB91" i="35"/>
  <c r="T90" i="35"/>
  <c r="O89" i="35"/>
  <c r="O88" i="35"/>
  <c r="W88" i="35"/>
  <c r="I85" i="35"/>
  <c r="S85" i="35"/>
  <c r="L84" i="35"/>
  <c r="B84" i="35"/>
  <c r="J84" i="35"/>
  <c r="Q84" i="35"/>
  <c r="V84" i="35"/>
  <c r="AA84" i="35"/>
  <c r="B83" i="35"/>
  <c r="L83" i="35"/>
  <c r="Q83" i="35"/>
  <c r="W83" i="35"/>
  <c r="Z81" i="35"/>
  <c r="R81" i="35"/>
  <c r="Q79" i="35"/>
  <c r="J79" i="35"/>
  <c r="I78" i="35"/>
  <c r="U78" i="35"/>
  <c r="Z78" i="35"/>
  <c r="X78" i="35" s="1"/>
  <c r="T75" i="35"/>
  <c r="O75" i="35"/>
  <c r="T73" i="35"/>
  <c r="N57" i="35"/>
  <c r="J55" i="35"/>
  <c r="Z51" i="35"/>
  <c r="X51" i="35" s="1"/>
  <c r="Q51" i="35"/>
  <c r="T50" i="35"/>
  <c r="Q45" i="35"/>
  <c r="N44" i="35"/>
  <c r="W37" i="35"/>
  <c r="U51" i="35"/>
  <c r="M51" i="35"/>
  <c r="AA50" i="35"/>
  <c r="O50" i="35"/>
  <c r="AA37" i="35"/>
  <c r="Q37" i="35"/>
  <c r="Q35" i="35"/>
  <c r="W65" i="35"/>
  <c r="N65" i="35"/>
  <c r="U63" i="35"/>
  <c r="AA56" i="35"/>
  <c r="U56" i="35"/>
  <c r="AB54" i="35"/>
  <c r="U54" i="35"/>
  <c r="T51" i="35"/>
  <c r="AB44" i="35"/>
  <c r="AA43" i="35"/>
  <c r="P41" i="35"/>
  <c r="L37" i="35"/>
  <c r="AA36" i="35"/>
  <c r="S36" i="35"/>
  <c r="V30" i="35"/>
  <c r="Q30" i="35"/>
  <c r="L30" i="35"/>
  <c r="W210" i="35"/>
  <c r="S210" i="35"/>
  <c r="L205" i="35"/>
  <c r="B205" i="35"/>
  <c r="N205" i="35"/>
  <c r="V205" i="35"/>
  <c r="AA205" i="35"/>
  <c r="J205" i="35"/>
  <c r="S205" i="35"/>
  <c r="Z205" i="35"/>
  <c r="X205" i="35" s="1"/>
  <c r="I202" i="35"/>
  <c r="S202" i="35"/>
  <c r="O202" i="35"/>
  <c r="AA202" i="35"/>
  <c r="I194" i="35"/>
  <c r="S194" i="35"/>
  <c r="O194" i="35"/>
  <c r="AA194" i="35"/>
  <c r="J187" i="35"/>
  <c r="P187" i="35"/>
  <c r="V187" i="35"/>
  <c r="AA187" i="35"/>
  <c r="O187" i="35"/>
  <c r="T187" i="35"/>
  <c r="Z187" i="35"/>
  <c r="X187" i="35" s="1"/>
  <c r="B153" i="35"/>
  <c r="J153" i="35"/>
  <c r="O153" i="35"/>
  <c r="S153" i="35"/>
  <c r="W153" i="35"/>
  <c r="AA153" i="35"/>
  <c r="I153" i="35"/>
  <c r="P153" i="35"/>
  <c r="U153" i="35"/>
  <c r="Z153" i="35"/>
  <c r="X153" i="35" s="1"/>
  <c r="N153" i="35"/>
  <c r="T153" i="35"/>
  <c r="L100" i="35"/>
  <c r="B100" i="35"/>
  <c r="J100" i="35"/>
  <c r="Q100" i="35"/>
  <c r="V100" i="35"/>
  <c r="AA100" i="35"/>
  <c r="M100" i="35"/>
  <c r="S100" i="35"/>
  <c r="Z100" i="35"/>
  <c r="X100" i="35" s="1"/>
  <c r="I100" i="35"/>
  <c r="R100" i="35"/>
  <c r="B82" i="35"/>
  <c r="L82" i="35"/>
  <c r="T82" i="35"/>
  <c r="AB82" i="35"/>
  <c r="W82" i="35"/>
  <c r="O82" i="35"/>
  <c r="P82" i="35"/>
  <c r="AA82" i="35"/>
  <c r="I224" i="35"/>
  <c r="N224" i="35"/>
  <c r="R224" i="35"/>
  <c r="V224" i="35"/>
  <c r="AA224" i="35"/>
  <c r="M224" i="35"/>
  <c r="Q224" i="35"/>
  <c r="U224" i="35"/>
  <c r="Z224" i="35"/>
  <c r="X224" i="35" s="1"/>
  <c r="B216" i="35"/>
  <c r="J216" i="35"/>
  <c r="O216" i="35"/>
  <c r="S216" i="35"/>
  <c r="W216" i="35"/>
  <c r="AB216" i="35"/>
  <c r="I216" i="35"/>
  <c r="N216" i="35"/>
  <c r="R216" i="35"/>
  <c r="V216" i="35"/>
  <c r="AA216" i="35"/>
  <c r="B212" i="35"/>
  <c r="J212" i="35"/>
  <c r="O212" i="35"/>
  <c r="S212" i="35"/>
  <c r="W212" i="35"/>
  <c r="AB212" i="35"/>
  <c r="I212" i="35"/>
  <c r="N212" i="35"/>
  <c r="R212" i="35"/>
  <c r="V212" i="35"/>
  <c r="AA212" i="35"/>
  <c r="R205" i="35"/>
  <c r="I189" i="35"/>
  <c r="N189" i="35"/>
  <c r="R189" i="35"/>
  <c r="V189" i="35"/>
  <c r="AA189" i="35"/>
  <c r="M189" i="35"/>
  <c r="Q189" i="35"/>
  <c r="U189" i="35"/>
  <c r="Z189" i="35"/>
  <c r="X189" i="35" s="1"/>
  <c r="N187" i="35"/>
  <c r="B187" i="35"/>
  <c r="B177" i="35"/>
  <c r="J177" i="35"/>
  <c r="O177" i="35"/>
  <c r="S177" i="35"/>
  <c r="W177" i="35"/>
  <c r="AB177" i="35"/>
  <c r="I177" i="35"/>
  <c r="N177" i="35"/>
  <c r="R177" i="35"/>
  <c r="V177" i="35"/>
  <c r="AA177" i="35"/>
  <c r="O171" i="35"/>
  <c r="M153" i="35"/>
  <c r="I141" i="35"/>
  <c r="N141" i="35"/>
  <c r="R141" i="35"/>
  <c r="V141" i="35"/>
  <c r="Z141" i="35"/>
  <c r="B141" i="35"/>
  <c r="L141" i="35"/>
  <c r="Q141" i="35"/>
  <c r="W141" i="35"/>
  <c r="AB141" i="35"/>
  <c r="J141" i="35"/>
  <c r="P141" i="35"/>
  <c r="U141" i="35"/>
  <c r="AA141" i="35"/>
  <c r="B137" i="35"/>
  <c r="J137" i="35"/>
  <c r="O137" i="35"/>
  <c r="S137" i="35"/>
  <c r="W137" i="35"/>
  <c r="AA137" i="35"/>
  <c r="I137" i="35"/>
  <c r="P137" i="35"/>
  <c r="U137" i="35"/>
  <c r="Z137" i="35"/>
  <c r="X137" i="35" s="1"/>
  <c r="N137" i="35"/>
  <c r="T137" i="35"/>
  <c r="I123" i="35"/>
  <c r="N123" i="35"/>
  <c r="R123" i="35"/>
  <c r="V123" i="35"/>
  <c r="AA123" i="35"/>
  <c r="B123" i="35"/>
  <c r="L123" i="35"/>
  <c r="Q123" i="35"/>
  <c r="W123" i="35"/>
  <c r="J123" i="35"/>
  <c r="P123" i="35"/>
  <c r="U123" i="35"/>
  <c r="AB123" i="35"/>
  <c r="AA116" i="35"/>
  <c r="Q116" i="35"/>
  <c r="L114" i="35"/>
  <c r="AB114" i="35"/>
  <c r="F231" i="35"/>
  <c r="AB224" i="35"/>
  <c r="S224" i="35"/>
  <c r="J224" i="35"/>
  <c r="B219" i="35"/>
  <c r="I219" i="35"/>
  <c r="P219" i="35"/>
  <c r="U219" i="35"/>
  <c r="AB219" i="35"/>
  <c r="O219" i="35"/>
  <c r="T219" i="35"/>
  <c r="AA219" i="35"/>
  <c r="T216" i="35"/>
  <c r="L216" i="35"/>
  <c r="T212" i="35"/>
  <c r="L212" i="35"/>
  <c r="AB189" i="35"/>
  <c r="S189" i="35"/>
  <c r="J189" i="35"/>
  <c r="M188" i="35"/>
  <c r="L188" i="35"/>
  <c r="AB188" i="35"/>
  <c r="S187" i="35"/>
  <c r="O178" i="35"/>
  <c r="U178" i="35"/>
  <c r="M178" i="35"/>
  <c r="T177" i="35"/>
  <c r="L177" i="35"/>
  <c r="M176" i="35"/>
  <c r="U176" i="35"/>
  <c r="I176" i="35"/>
  <c r="S176" i="35"/>
  <c r="AA176" i="35"/>
  <c r="I173" i="35"/>
  <c r="N173" i="35"/>
  <c r="R173" i="35"/>
  <c r="V173" i="35"/>
  <c r="AA173" i="35"/>
  <c r="M173" i="35"/>
  <c r="Q173" i="35"/>
  <c r="U173" i="35"/>
  <c r="Z173" i="35"/>
  <c r="X173" i="35" s="1"/>
  <c r="I172" i="35"/>
  <c r="S172" i="35"/>
  <c r="AA172" i="35"/>
  <c r="Q172" i="35"/>
  <c r="I167" i="35"/>
  <c r="J167" i="35"/>
  <c r="P167" i="35"/>
  <c r="V167" i="35"/>
  <c r="Z167" i="35"/>
  <c r="X167" i="35" s="1"/>
  <c r="O167" i="35"/>
  <c r="T167" i="35"/>
  <c r="I161" i="35"/>
  <c r="N161" i="35"/>
  <c r="R161" i="35"/>
  <c r="V161" i="35"/>
  <c r="Z161" i="35"/>
  <c r="X161" i="35" s="1"/>
  <c r="M161" i="35"/>
  <c r="Q161" i="35"/>
  <c r="U161" i="35"/>
  <c r="AB153" i="35"/>
  <c r="R153" i="35"/>
  <c r="AB145" i="35"/>
  <c r="W145" i="35"/>
  <c r="X141" i="35"/>
  <c r="M141" i="35"/>
  <c r="L138" i="35"/>
  <c r="I138" i="35"/>
  <c r="S138" i="35"/>
  <c r="AA138" i="35"/>
  <c r="M138" i="35"/>
  <c r="W138" i="35"/>
  <c r="U138" i="35"/>
  <c r="V137" i="35"/>
  <c r="L137" i="35"/>
  <c r="M123" i="35"/>
  <c r="V116" i="35"/>
  <c r="M115" i="35"/>
  <c r="Q115" i="35"/>
  <c r="U115" i="35"/>
  <c r="Z115" i="35"/>
  <c r="X115" i="35" s="1"/>
  <c r="I115" i="35"/>
  <c r="O115" i="35"/>
  <c r="T115" i="35"/>
  <c r="AA115" i="35"/>
  <c r="N115" i="35"/>
  <c r="S115" i="35"/>
  <c r="Q114" i="35"/>
  <c r="P106" i="35"/>
  <c r="AB106" i="35"/>
  <c r="S106" i="35"/>
  <c r="O106" i="35"/>
  <c r="W100" i="35"/>
  <c r="M87" i="35"/>
  <c r="Q87" i="35"/>
  <c r="U87" i="35"/>
  <c r="I87" i="35"/>
  <c r="O87" i="35"/>
  <c r="T87" i="35"/>
  <c r="B87" i="35"/>
  <c r="J87" i="35"/>
  <c r="P87" i="35"/>
  <c r="V87" i="35"/>
  <c r="Z87" i="35"/>
  <c r="X87" i="35" s="1"/>
  <c r="N87" i="35"/>
  <c r="L87" i="35"/>
  <c r="W87" i="35"/>
  <c r="AB87" i="35"/>
  <c r="I76" i="35"/>
  <c r="Q76" i="35"/>
  <c r="S76" i="35"/>
  <c r="Z76" i="35"/>
  <c r="X76" i="35" s="1"/>
  <c r="J76" i="35"/>
  <c r="U76" i="35"/>
  <c r="AA76" i="35"/>
  <c r="B76" i="35"/>
  <c r="O76" i="35"/>
  <c r="N76" i="35"/>
  <c r="L197" i="35"/>
  <c r="B197" i="35"/>
  <c r="N197" i="35"/>
  <c r="V197" i="35"/>
  <c r="AA197" i="35"/>
  <c r="J197" i="35"/>
  <c r="S197" i="35"/>
  <c r="Z197" i="35"/>
  <c r="X197" i="35" s="1"/>
  <c r="O174" i="35"/>
  <c r="M174" i="35"/>
  <c r="I171" i="35"/>
  <c r="B171" i="35"/>
  <c r="L171" i="35"/>
  <c r="R171" i="35"/>
  <c r="W171" i="35"/>
  <c r="AA171" i="35"/>
  <c r="J171" i="35"/>
  <c r="P171" i="35"/>
  <c r="V171" i="35"/>
  <c r="Z171" i="35"/>
  <c r="X171" i="35" s="1"/>
  <c r="J69" i="35"/>
  <c r="R69" i="35"/>
  <c r="O69" i="35"/>
  <c r="W69" i="35"/>
  <c r="T69" i="35"/>
  <c r="L69" i="35"/>
  <c r="AA69" i="35"/>
  <c r="N69" i="35"/>
  <c r="AB69" i="35"/>
  <c r="S69" i="35"/>
  <c r="B215" i="35"/>
  <c r="L215" i="35"/>
  <c r="Q215" i="35"/>
  <c r="W215" i="35"/>
  <c r="I215" i="35"/>
  <c r="P215" i="35"/>
  <c r="U215" i="35"/>
  <c r="AB215" i="35"/>
  <c r="B211" i="35"/>
  <c r="L211" i="35"/>
  <c r="Q211" i="35"/>
  <c r="W211" i="35"/>
  <c r="I211" i="35"/>
  <c r="P211" i="35"/>
  <c r="U211" i="35"/>
  <c r="AB211" i="35"/>
  <c r="M145" i="35"/>
  <c r="Q145" i="35"/>
  <c r="U145" i="35"/>
  <c r="B145" i="35"/>
  <c r="J145" i="35"/>
  <c r="P145" i="35"/>
  <c r="V145" i="35"/>
  <c r="Z145" i="35"/>
  <c r="X145" i="35" s="1"/>
  <c r="I145" i="35"/>
  <c r="K145" i="35" s="1"/>
  <c r="O145" i="35"/>
  <c r="T145" i="35"/>
  <c r="B144" i="35"/>
  <c r="S144" i="35"/>
  <c r="O144" i="35"/>
  <c r="AA144" i="35"/>
  <c r="L142" i="35"/>
  <c r="Q142" i="35"/>
  <c r="M142" i="35"/>
  <c r="W142" i="35"/>
  <c r="I142" i="35"/>
  <c r="U142" i="35"/>
  <c r="I124" i="35"/>
  <c r="O124" i="35"/>
  <c r="T124" i="35"/>
  <c r="B124" i="35"/>
  <c r="L124" i="35"/>
  <c r="S124" i="35"/>
  <c r="J124" i="35"/>
  <c r="R124" i="35"/>
  <c r="AB124" i="35"/>
  <c r="S102" i="35"/>
  <c r="T102" i="35"/>
  <c r="AB102" i="35"/>
  <c r="L102" i="35"/>
  <c r="W102" i="35"/>
  <c r="O101" i="35"/>
  <c r="V101" i="35"/>
  <c r="N101" i="35"/>
  <c r="O100" i="35"/>
  <c r="B98" i="35"/>
  <c r="L98" i="35"/>
  <c r="T98" i="35"/>
  <c r="AB98" i="35"/>
  <c r="W98" i="35"/>
  <c r="O98" i="35"/>
  <c r="AA98" i="35"/>
  <c r="I72" i="35"/>
  <c r="S72" i="35"/>
  <c r="B72" i="35"/>
  <c r="O72" i="35"/>
  <c r="Z72" i="35"/>
  <c r="X72" i="35" s="1"/>
  <c r="J72" i="35"/>
  <c r="Q72" i="35"/>
  <c r="V72" i="35"/>
  <c r="N225" i="35"/>
  <c r="AA225" i="35"/>
  <c r="T224" i="35"/>
  <c r="L224" i="35"/>
  <c r="B224" i="35"/>
  <c r="B223" i="35"/>
  <c r="I223" i="35"/>
  <c r="P223" i="35"/>
  <c r="U223" i="35"/>
  <c r="AB223" i="35"/>
  <c r="O223" i="35"/>
  <c r="T223" i="35"/>
  <c r="AA223" i="35"/>
  <c r="I220" i="35"/>
  <c r="N220" i="35"/>
  <c r="R220" i="35"/>
  <c r="V220" i="35"/>
  <c r="AA220" i="35"/>
  <c r="M220" i="35"/>
  <c r="Q220" i="35"/>
  <c r="U220" i="35"/>
  <c r="Z220" i="35"/>
  <c r="X220" i="35" s="1"/>
  <c r="S219" i="35"/>
  <c r="W218" i="35"/>
  <c r="S218" i="35"/>
  <c r="L217" i="35"/>
  <c r="J217" i="35"/>
  <c r="S217" i="35"/>
  <c r="Z217" i="35"/>
  <c r="X217" i="35" s="1"/>
  <c r="R217" i="35"/>
  <c r="U216" i="35"/>
  <c r="M216" i="35"/>
  <c r="AA215" i="35"/>
  <c r="O215" i="35"/>
  <c r="O214" i="35"/>
  <c r="AA214" i="35"/>
  <c r="L213" i="35"/>
  <c r="J213" i="35"/>
  <c r="S213" i="35"/>
  <c r="Z213" i="35"/>
  <c r="X213" i="35" s="1"/>
  <c r="R213" i="35"/>
  <c r="U212" i="35"/>
  <c r="M212" i="35"/>
  <c r="AA211" i="35"/>
  <c r="O211" i="35"/>
  <c r="L209" i="35"/>
  <c r="B209" i="35"/>
  <c r="N209" i="35"/>
  <c r="V209" i="35"/>
  <c r="AA209" i="35"/>
  <c r="J209" i="35"/>
  <c r="S209" i="35"/>
  <c r="Z209" i="35"/>
  <c r="X209" i="35" s="1"/>
  <c r="S206" i="35"/>
  <c r="O206" i="35"/>
  <c r="AA206" i="35"/>
  <c r="O205" i="35"/>
  <c r="W202" i="35"/>
  <c r="L201" i="35"/>
  <c r="B201" i="35"/>
  <c r="N201" i="35"/>
  <c r="V201" i="35"/>
  <c r="AA201" i="35"/>
  <c r="J201" i="35"/>
  <c r="S201" i="35"/>
  <c r="Z201" i="35"/>
  <c r="X201" i="35" s="1"/>
  <c r="I198" i="35"/>
  <c r="S198" i="35"/>
  <c r="O198" i="35"/>
  <c r="AA198" i="35"/>
  <c r="O197" i="35"/>
  <c r="W194" i="35"/>
  <c r="B193" i="35"/>
  <c r="J193" i="35"/>
  <c r="O193" i="35"/>
  <c r="S193" i="35"/>
  <c r="W193" i="35"/>
  <c r="AB193" i="35"/>
  <c r="I193" i="35"/>
  <c r="N193" i="35"/>
  <c r="R193" i="35"/>
  <c r="V193" i="35"/>
  <c r="AA193" i="35"/>
  <c r="M192" i="35"/>
  <c r="Q192" i="35"/>
  <c r="L192" i="35"/>
  <c r="AB192" i="35"/>
  <c r="B191" i="35"/>
  <c r="L191" i="35"/>
  <c r="R191" i="35"/>
  <c r="W191" i="35"/>
  <c r="AB191" i="35"/>
  <c r="J191" i="35"/>
  <c r="P191" i="35"/>
  <c r="V191" i="35"/>
  <c r="AA191" i="35"/>
  <c r="M190" i="35"/>
  <c r="Q190" i="35"/>
  <c r="AA190" i="35"/>
  <c r="T189" i="35"/>
  <c r="L189" i="35"/>
  <c r="B189" i="35"/>
  <c r="W187" i="35"/>
  <c r="L187" i="35"/>
  <c r="U177" i="35"/>
  <c r="M177" i="35"/>
  <c r="U174" i="35"/>
  <c r="P173" i="35"/>
  <c r="W172" i="35"/>
  <c r="N171" i="35"/>
  <c r="AA167" i="35"/>
  <c r="S167" i="35"/>
  <c r="P161" i="35"/>
  <c r="L154" i="35"/>
  <c r="I154" i="35"/>
  <c r="S154" i="35"/>
  <c r="AA154" i="35"/>
  <c r="M154" i="35"/>
  <c r="W154" i="35"/>
  <c r="U154" i="35"/>
  <c r="V153" i="35"/>
  <c r="L153" i="35"/>
  <c r="N145" i="35"/>
  <c r="S142" i="35"/>
  <c r="O141" i="35"/>
  <c r="M137" i="35"/>
  <c r="N128" i="35"/>
  <c r="R128" i="35"/>
  <c r="L128" i="35"/>
  <c r="AA128" i="35"/>
  <c r="Z124" i="35"/>
  <c r="X124" i="35" s="1"/>
  <c r="P124" i="35"/>
  <c r="Z123" i="35"/>
  <c r="X123" i="35" s="1"/>
  <c r="O123" i="35"/>
  <c r="W114" i="35"/>
  <c r="AA112" i="35"/>
  <c r="V112" i="35"/>
  <c r="Q112" i="35"/>
  <c r="M111" i="35"/>
  <c r="Q111" i="35"/>
  <c r="U111" i="35"/>
  <c r="Z111" i="35"/>
  <c r="X111" i="35" s="1"/>
  <c r="B111" i="35"/>
  <c r="J111" i="35"/>
  <c r="P111" i="35"/>
  <c r="V111" i="35"/>
  <c r="AB111" i="35"/>
  <c r="I111" i="35"/>
  <c r="O111" i="35"/>
  <c r="T111" i="35"/>
  <c r="AA111" i="35"/>
  <c r="P102" i="35"/>
  <c r="AA101" i="35"/>
  <c r="N100" i="35"/>
  <c r="S98" i="35"/>
  <c r="I93" i="35"/>
  <c r="O93" i="35"/>
  <c r="AA93" i="35"/>
  <c r="W93" i="35"/>
  <c r="S93" i="35"/>
  <c r="S82" i="35"/>
  <c r="J53" i="35"/>
  <c r="R53" i="35"/>
  <c r="O53" i="35"/>
  <c r="W53" i="35"/>
  <c r="N53" i="35"/>
  <c r="AA53" i="35"/>
  <c r="L53" i="35"/>
  <c r="AB53" i="35"/>
  <c r="S53" i="35"/>
  <c r="L49" i="35"/>
  <c r="T49" i="35"/>
  <c r="AB49" i="35"/>
  <c r="S49" i="35"/>
  <c r="AA49" i="35"/>
  <c r="O49" i="35"/>
  <c r="P49" i="35"/>
  <c r="W49" i="35"/>
  <c r="E231" i="35"/>
  <c r="K163" i="35"/>
  <c r="I155" i="35"/>
  <c r="J155" i="35"/>
  <c r="P155" i="35"/>
  <c r="V155" i="35"/>
  <c r="AA155" i="35"/>
  <c r="L150" i="35"/>
  <c r="M150" i="35"/>
  <c r="U150" i="35"/>
  <c r="B140" i="35"/>
  <c r="O140" i="35"/>
  <c r="AA140" i="35"/>
  <c r="I139" i="35"/>
  <c r="J139" i="35"/>
  <c r="P139" i="35"/>
  <c r="V139" i="35"/>
  <c r="AA139" i="35"/>
  <c r="L134" i="35"/>
  <c r="M134" i="35"/>
  <c r="U134" i="35"/>
  <c r="M126" i="35"/>
  <c r="Q126" i="35"/>
  <c r="U126" i="35"/>
  <c r="N117" i="35"/>
  <c r="L117" i="35"/>
  <c r="W117" i="35"/>
  <c r="N113" i="35"/>
  <c r="J113" i="35"/>
  <c r="R113" i="35"/>
  <c r="M108" i="35"/>
  <c r="W108" i="35"/>
  <c r="I103" i="35"/>
  <c r="K103" i="35" s="1"/>
  <c r="N103" i="35"/>
  <c r="R103" i="35"/>
  <c r="V103" i="35"/>
  <c r="Z103" i="35"/>
  <c r="X103" i="35" s="1"/>
  <c r="B95" i="35"/>
  <c r="J95" i="35"/>
  <c r="O95" i="35"/>
  <c r="S95" i="35"/>
  <c r="W95" i="35"/>
  <c r="AA95" i="35"/>
  <c r="L95" i="35"/>
  <c r="Q95" i="35"/>
  <c r="V95" i="35"/>
  <c r="AB95" i="35"/>
  <c r="L92" i="35"/>
  <c r="I92" i="35"/>
  <c r="O92" i="35"/>
  <c r="U92" i="35"/>
  <c r="Z92" i="35"/>
  <c r="Q92" i="35"/>
  <c r="W92" i="35"/>
  <c r="O77" i="35"/>
  <c r="T77" i="35"/>
  <c r="L77" i="35"/>
  <c r="AA77" i="35"/>
  <c r="N77" i="35"/>
  <c r="I74" i="35"/>
  <c r="T74" i="35"/>
  <c r="W74" i="35"/>
  <c r="L74" i="35"/>
  <c r="AA74" i="35"/>
  <c r="P74" i="35"/>
  <c r="O66" i="35"/>
  <c r="L66" i="35"/>
  <c r="I66" i="35"/>
  <c r="W66" i="35"/>
  <c r="AA66" i="35"/>
  <c r="P66" i="35"/>
  <c r="O52" i="35"/>
  <c r="N52" i="35"/>
  <c r="Z52" i="35"/>
  <c r="X52" i="35" s="1"/>
  <c r="AA52" i="35"/>
  <c r="S52" i="35"/>
  <c r="B52" i="35"/>
  <c r="V52" i="35"/>
  <c r="Z228" i="35"/>
  <c r="X228" i="35" s="1"/>
  <c r="U228" i="35"/>
  <c r="Q228" i="35"/>
  <c r="AA227" i="35"/>
  <c r="T227" i="35"/>
  <c r="O227" i="35"/>
  <c r="AA222" i="35"/>
  <c r="R221" i="35"/>
  <c r="AA186" i="35"/>
  <c r="Z185" i="35"/>
  <c r="X185" i="35" s="1"/>
  <c r="U185" i="35"/>
  <c r="Q185" i="35"/>
  <c r="Z183" i="35"/>
  <c r="X183" i="35" s="1"/>
  <c r="T183" i="35"/>
  <c r="Z169" i="35"/>
  <c r="X169" i="35" s="1"/>
  <c r="U169" i="35"/>
  <c r="Q169" i="35"/>
  <c r="T163" i="35"/>
  <c r="O163" i="35"/>
  <c r="Q162" i="35"/>
  <c r="B157" i="35"/>
  <c r="J157" i="35"/>
  <c r="O157" i="35"/>
  <c r="S157" i="35"/>
  <c r="W157" i="35"/>
  <c r="AA157" i="35"/>
  <c r="R155" i="35"/>
  <c r="B152" i="35"/>
  <c r="S152" i="35"/>
  <c r="I151" i="35"/>
  <c r="B151" i="35"/>
  <c r="L151" i="35"/>
  <c r="R151" i="35"/>
  <c r="W151" i="35"/>
  <c r="AB151" i="35"/>
  <c r="S150" i="35"/>
  <c r="I143" i="35"/>
  <c r="O143" i="35"/>
  <c r="T143" i="35"/>
  <c r="Z143" i="35"/>
  <c r="X143" i="35" s="1"/>
  <c r="R139" i="35"/>
  <c r="B136" i="35"/>
  <c r="S136" i="35"/>
  <c r="I135" i="35"/>
  <c r="K135" i="35" s="1"/>
  <c r="B135" i="35"/>
  <c r="L135" i="35"/>
  <c r="R135" i="35"/>
  <c r="W135" i="35"/>
  <c r="AB135" i="35"/>
  <c r="S134" i="35"/>
  <c r="AB126" i="35"/>
  <c r="S126" i="35"/>
  <c r="N126" i="35"/>
  <c r="N121" i="35"/>
  <c r="R121" i="35"/>
  <c r="AA121" i="35"/>
  <c r="B119" i="35"/>
  <c r="J119" i="35"/>
  <c r="O119" i="35"/>
  <c r="S119" i="35"/>
  <c r="W119" i="35"/>
  <c r="AB119" i="35"/>
  <c r="T117" i="35"/>
  <c r="Z113" i="35"/>
  <c r="X113" i="35" s="1"/>
  <c r="T113" i="35"/>
  <c r="I107" i="35"/>
  <c r="N107" i="35"/>
  <c r="R107" i="35"/>
  <c r="V107" i="35"/>
  <c r="AA107" i="35"/>
  <c r="B105" i="35"/>
  <c r="N105" i="35"/>
  <c r="V105" i="35"/>
  <c r="AA105" i="35"/>
  <c r="T103" i="35"/>
  <c r="O103" i="35"/>
  <c r="L96" i="35"/>
  <c r="N96" i="35"/>
  <c r="S96" i="35"/>
  <c r="I96" i="35"/>
  <c r="K96" i="35" s="1"/>
  <c r="Q96" i="35"/>
  <c r="W96" i="35"/>
  <c r="P95" i="35"/>
  <c r="AA92" i="35"/>
  <c r="R92" i="35"/>
  <c r="M58" i="35"/>
  <c r="L58" i="35"/>
  <c r="W58" i="35"/>
  <c r="U58" i="35"/>
  <c r="AB58" i="35"/>
  <c r="AA58" i="35"/>
  <c r="P58" i="35"/>
  <c r="J40" i="35"/>
  <c r="R40" i="35"/>
  <c r="O40" i="35"/>
  <c r="W40" i="35"/>
  <c r="L40" i="35"/>
  <c r="N40" i="35"/>
  <c r="AA40" i="35"/>
  <c r="S40" i="35"/>
  <c r="AB40" i="35"/>
  <c r="O78" i="35"/>
  <c r="T78" i="35"/>
  <c r="AB78" i="35"/>
  <c r="I42" i="35"/>
  <c r="N42" i="35"/>
  <c r="R42" i="35"/>
  <c r="V42" i="35"/>
  <c r="AA42" i="35"/>
  <c r="M42" i="35"/>
  <c r="Q42" i="35"/>
  <c r="U42" i="35"/>
  <c r="Z42" i="35"/>
  <c r="X42" i="35" s="1"/>
  <c r="J42" i="35"/>
  <c r="S42" i="35"/>
  <c r="AB42" i="35"/>
  <c r="B31" i="35"/>
  <c r="S31" i="35"/>
  <c r="AA31" i="35"/>
  <c r="N31" i="35"/>
  <c r="Z31" i="35"/>
  <c r="X31" i="35" s="1"/>
  <c r="V31" i="35"/>
  <c r="I99" i="35"/>
  <c r="K99" i="35" s="1"/>
  <c r="N99" i="35"/>
  <c r="R99" i="35"/>
  <c r="V99" i="35"/>
  <c r="Z99" i="35"/>
  <c r="X99" i="35" s="1"/>
  <c r="B94" i="35"/>
  <c r="O94" i="35"/>
  <c r="W94" i="35"/>
  <c r="I89" i="35"/>
  <c r="S89" i="35"/>
  <c r="L88" i="35"/>
  <c r="B88" i="35"/>
  <c r="J88" i="35"/>
  <c r="Q88" i="35"/>
  <c r="V88" i="35"/>
  <c r="AA88" i="35"/>
  <c r="B86" i="35"/>
  <c r="S86" i="35"/>
  <c r="AA86" i="35"/>
  <c r="I83" i="35"/>
  <c r="K83" i="35" s="1"/>
  <c r="N83" i="35"/>
  <c r="R83" i="35"/>
  <c r="V83" i="35"/>
  <c r="Z83" i="35"/>
  <c r="X83" i="35" s="1"/>
  <c r="I79" i="35"/>
  <c r="N79" i="35"/>
  <c r="R79" i="35"/>
  <c r="V79" i="35"/>
  <c r="Z79" i="35"/>
  <c r="X79" i="35" s="1"/>
  <c r="S78" i="35"/>
  <c r="L78" i="35"/>
  <c r="J64" i="35"/>
  <c r="V64" i="35"/>
  <c r="U64" i="35"/>
  <c r="AA64" i="35"/>
  <c r="Z64" i="35"/>
  <c r="Q60" i="35"/>
  <c r="O60" i="35"/>
  <c r="B59" i="35"/>
  <c r="J59" i="35"/>
  <c r="O59" i="35"/>
  <c r="S59" i="35"/>
  <c r="W59" i="35"/>
  <c r="AB59" i="35"/>
  <c r="I59" i="35"/>
  <c r="N59" i="35"/>
  <c r="R59" i="35"/>
  <c r="V59" i="35"/>
  <c r="AA59" i="35"/>
  <c r="M59" i="35"/>
  <c r="U59" i="35"/>
  <c r="L57" i="35"/>
  <c r="S57" i="35"/>
  <c r="AA57" i="35"/>
  <c r="J57" i="35"/>
  <c r="R57" i="35"/>
  <c r="W57" i="35"/>
  <c r="I55" i="35"/>
  <c r="N55" i="35"/>
  <c r="R55" i="35"/>
  <c r="V55" i="35"/>
  <c r="AA55" i="35"/>
  <c r="M55" i="35"/>
  <c r="Q55" i="35"/>
  <c r="U55" i="35"/>
  <c r="Z55" i="35"/>
  <c r="X55" i="35" s="1"/>
  <c r="B55" i="35"/>
  <c r="L55" i="35"/>
  <c r="T55" i="35"/>
  <c r="O42" i="35"/>
  <c r="B42" i="35"/>
  <c r="B35" i="35"/>
  <c r="O35" i="35"/>
  <c r="J35" i="35"/>
  <c r="V35" i="35"/>
  <c r="Z35" i="35"/>
  <c r="O32" i="35"/>
  <c r="W32" i="35"/>
  <c r="L32" i="35"/>
  <c r="T32" i="35"/>
  <c r="AB32" i="35"/>
  <c r="P32" i="35"/>
  <c r="B63" i="35"/>
  <c r="J63" i="35"/>
  <c r="O63" i="35"/>
  <c r="S63" i="35"/>
  <c r="W63" i="35"/>
  <c r="AB63" i="35"/>
  <c r="I63" i="35"/>
  <c r="N63" i="35"/>
  <c r="R63" i="35"/>
  <c r="V63" i="35"/>
  <c r="AA63" i="35"/>
  <c r="B51" i="35"/>
  <c r="J51" i="35"/>
  <c r="O51" i="35"/>
  <c r="S51" i="35"/>
  <c r="W51" i="35"/>
  <c r="AB51" i="35"/>
  <c r="I51" i="35"/>
  <c r="N51" i="35"/>
  <c r="R51" i="35"/>
  <c r="V51" i="35"/>
  <c r="AA51" i="35"/>
  <c r="B50" i="35"/>
  <c r="L50" i="35"/>
  <c r="Q50" i="35"/>
  <c r="W50" i="35"/>
  <c r="I50" i="35"/>
  <c r="P50" i="35"/>
  <c r="U50" i="35"/>
  <c r="AB50" i="35"/>
  <c r="P45" i="35"/>
  <c r="AA45" i="35"/>
  <c r="L44" i="35"/>
  <c r="S44" i="35"/>
  <c r="AA44" i="35"/>
  <c r="J44" i="35"/>
  <c r="R44" i="35"/>
  <c r="N68" i="35"/>
  <c r="AA65" i="35"/>
  <c r="S65" i="35"/>
  <c r="O39" i="35"/>
  <c r="AB34" i="35"/>
  <c r="W34" i="35"/>
  <c r="S34" i="35"/>
  <c r="O34" i="35"/>
  <c r="J34" i="35"/>
  <c r="W33" i="35"/>
  <c r="Q33" i="35"/>
  <c r="L33" i="35"/>
  <c r="AB30" i="35"/>
  <c r="W30" i="35"/>
  <c r="S30" i="35"/>
  <c r="O30" i="35"/>
  <c r="J30" i="35"/>
  <c r="K175" i="35"/>
  <c r="L229" i="35"/>
  <c r="P229" i="35"/>
  <c r="T229" i="35"/>
  <c r="AB229" i="35"/>
  <c r="I229" i="35"/>
  <c r="M229" i="35"/>
  <c r="Q229" i="35"/>
  <c r="U229" i="35"/>
  <c r="L225" i="35"/>
  <c r="P225" i="35"/>
  <c r="T225" i="35"/>
  <c r="AB225" i="35"/>
  <c r="I225" i="35"/>
  <c r="M225" i="35"/>
  <c r="Q225" i="35"/>
  <c r="U225" i="35"/>
  <c r="Z229" i="35"/>
  <c r="X229" i="35" s="1"/>
  <c r="S229" i="35"/>
  <c r="B229" i="35"/>
  <c r="Z225" i="35"/>
  <c r="X225" i="35" s="1"/>
  <c r="S225" i="35"/>
  <c r="B225" i="35"/>
  <c r="I218" i="35"/>
  <c r="M218" i="35"/>
  <c r="Q218" i="35"/>
  <c r="U218" i="35"/>
  <c r="B218" i="35"/>
  <c r="J218" i="35"/>
  <c r="N218" i="35"/>
  <c r="R218" i="35"/>
  <c r="V218" i="35"/>
  <c r="Z218" i="35"/>
  <c r="L218" i="35"/>
  <c r="P218" i="35"/>
  <c r="T218" i="35"/>
  <c r="X218" i="35"/>
  <c r="AB218" i="35"/>
  <c r="I210" i="35"/>
  <c r="M210" i="35"/>
  <c r="Q210" i="35"/>
  <c r="U210" i="35"/>
  <c r="B210" i="35"/>
  <c r="J210" i="35"/>
  <c r="N210" i="35"/>
  <c r="R210" i="35"/>
  <c r="V210" i="35"/>
  <c r="Z210" i="35"/>
  <c r="X210" i="35" s="1"/>
  <c r="L210" i="35"/>
  <c r="P210" i="35"/>
  <c r="T210" i="35"/>
  <c r="AB210" i="35"/>
  <c r="AA22" i="34"/>
  <c r="D12" i="34"/>
  <c r="D15" i="34" s="1"/>
  <c r="J241" i="35"/>
  <c r="R229" i="35"/>
  <c r="J229" i="35"/>
  <c r="R225" i="35"/>
  <c r="J225" i="35"/>
  <c r="AA218" i="35"/>
  <c r="O218" i="35"/>
  <c r="AA210" i="35"/>
  <c r="O210" i="35"/>
  <c r="AA24" i="34"/>
  <c r="AA23" i="34"/>
  <c r="L242" i="35"/>
  <c r="W229" i="35"/>
  <c r="O229" i="35"/>
  <c r="I226" i="35"/>
  <c r="M226" i="35"/>
  <c r="Q226" i="35"/>
  <c r="U226" i="35"/>
  <c r="B226" i="35"/>
  <c r="J226" i="35"/>
  <c r="N226" i="35"/>
  <c r="R226" i="35"/>
  <c r="V226" i="35"/>
  <c r="Z226" i="35"/>
  <c r="X226" i="35" s="1"/>
  <c r="W225" i="35"/>
  <c r="O225" i="35"/>
  <c r="I222" i="35"/>
  <c r="M222" i="35"/>
  <c r="Q222" i="35"/>
  <c r="U222" i="35"/>
  <c r="B222" i="35"/>
  <c r="J222" i="35"/>
  <c r="N222" i="35"/>
  <c r="R222" i="35"/>
  <c r="V222" i="35"/>
  <c r="Z222" i="35"/>
  <c r="X222" i="35" s="1"/>
  <c r="I214" i="35"/>
  <c r="M214" i="35"/>
  <c r="Q214" i="35"/>
  <c r="U214" i="35"/>
  <c r="B214" i="35"/>
  <c r="J214" i="35"/>
  <c r="N214" i="35"/>
  <c r="R214" i="35"/>
  <c r="V214" i="35"/>
  <c r="Z214" i="35"/>
  <c r="L214" i="35"/>
  <c r="P214" i="35"/>
  <c r="T214" i="35"/>
  <c r="X214" i="35"/>
  <c r="AB214" i="35"/>
  <c r="I206" i="35"/>
  <c r="M206" i="35"/>
  <c r="Q206" i="35"/>
  <c r="U206" i="35"/>
  <c r="B206" i="35"/>
  <c r="J206" i="35"/>
  <c r="N206" i="35"/>
  <c r="R206" i="35"/>
  <c r="V206" i="35"/>
  <c r="Z206" i="35"/>
  <c r="L206" i="35"/>
  <c r="P206" i="35"/>
  <c r="T206" i="35"/>
  <c r="X206" i="35"/>
  <c r="AB206" i="35"/>
  <c r="G231" i="35"/>
  <c r="AB202" i="35"/>
  <c r="T202" i="35"/>
  <c r="P202" i="35"/>
  <c r="L202" i="35"/>
  <c r="AB198" i="35"/>
  <c r="T198" i="35"/>
  <c r="P198" i="35"/>
  <c r="L198" i="35"/>
  <c r="AB194" i="35"/>
  <c r="T194" i="35"/>
  <c r="P194" i="35"/>
  <c r="L194" i="35"/>
  <c r="S192" i="35"/>
  <c r="W190" i="35"/>
  <c r="R190" i="35"/>
  <c r="S188" i="35"/>
  <c r="W186" i="35"/>
  <c r="R186" i="35"/>
  <c r="S184" i="35"/>
  <c r="W182" i="35"/>
  <c r="R182" i="35"/>
  <c r="S180" i="35"/>
  <c r="W178" i="35"/>
  <c r="W174" i="35"/>
  <c r="W170" i="35"/>
  <c r="W166" i="35"/>
  <c r="B156" i="35"/>
  <c r="J156" i="35"/>
  <c r="N156" i="35"/>
  <c r="R156" i="35"/>
  <c r="V156" i="35"/>
  <c r="Z156" i="35"/>
  <c r="X156" i="35" s="1"/>
  <c r="L156" i="35"/>
  <c r="P156" i="35"/>
  <c r="T156" i="35"/>
  <c r="AB156" i="35"/>
  <c r="I156" i="35"/>
  <c r="M156" i="35"/>
  <c r="Q156" i="35"/>
  <c r="U156" i="35"/>
  <c r="B192" i="35"/>
  <c r="J192" i="35"/>
  <c r="N192" i="35"/>
  <c r="R192" i="35"/>
  <c r="V192" i="35"/>
  <c r="Z192" i="35"/>
  <c r="X192" i="35" s="1"/>
  <c r="L190" i="35"/>
  <c r="P190" i="35"/>
  <c r="T190" i="35"/>
  <c r="AB190" i="35"/>
  <c r="B188" i="35"/>
  <c r="J188" i="35"/>
  <c r="N188" i="35"/>
  <c r="R188" i="35"/>
  <c r="V188" i="35"/>
  <c r="Z188" i="35"/>
  <c r="X188" i="35" s="1"/>
  <c r="L186" i="35"/>
  <c r="P186" i="35"/>
  <c r="T186" i="35"/>
  <c r="AB186" i="35"/>
  <c r="B184" i="35"/>
  <c r="J184" i="35"/>
  <c r="N184" i="35"/>
  <c r="R184" i="35"/>
  <c r="V184" i="35"/>
  <c r="Z184" i="35"/>
  <c r="X184" i="35" s="1"/>
  <c r="L182" i="35"/>
  <c r="P182" i="35"/>
  <c r="T182" i="35"/>
  <c r="AB182" i="35"/>
  <c r="B180" i="35"/>
  <c r="J180" i="35"/>
  <c r="N180" i="35"/>
  <c r="R180" i="35"/>
  <c r="V180" i="35"/>
  <c r="Z180" i="35"/>
  <c r="X180" i="35" s="1"/>
  <c r="L178" i="35"/>
  <c r="P178" i="35"/>
  <c r="T178" i="35"/>
  <c r="AB178" i="35"/>
  <c r="B178" i="35"/>
  <c r="J178" i="35"/>
  <c r="N178" i="35"/>
  <c r="R178" i="35"/>
  <c r="V178" i="35"/>
  <c r="L174" i="35"/>
  <c r="P174" i="35"/>
  <c r="T174" i="35"/>
  <c r="AB174" i="35"/>
  <c r="B174" i="35"/>
  <c r="J174" i="35"/>
  <c r="N174" i="35"/>
  <c r="R174" i="35"/>
  <c r="V174" i="35"/>
  <c r="Z174" i="35"/>
  <c r="X174" i="35" s="1"/>
  <c r="L170" i="35"/>
  <c r="P170" i="35"/>
  <c r="T170" i="35"/>
  <c r="AB170" i="35"/>
  <c r="B170" i="35"/>
  <c r="J170" i="35"/>
  <c r="N170" i="35"/>
  <c r="R170" i="35"/>
  <c r="V170" i="35"/>
  <c r="Z170" i="35"/>
  <c r="X170" i="35" s="1"/>
  <c r="L166" i="35"/>
  <c r="P166" i="35"/>
  <c r="T166" i="35"/>
  <c r="AB166" i="35"/>
  <c r="B166" i="35"/>
  <c r="J166" i="35"/>
  <c r="N166" i="35"/>
  <c r="R166" i="35"/>
  <c r="V166" i="35"/>
  <c r="Z166" i="35"/>
  <c r="X166" i="35" s="1"/>
  <c r="U221" i="35"/>
  <c r="Q221" i="35"/>
  <c r="M221" i="35"/>
  <c r="I221" i="35"/>
  <c r="U217" i="35"/>
  <c r="Q217" i="35"/>
  <c r="M217" i="35"/>
  <c r="I217" i="35"/>
  <c r="U213" i="35"/>
  <c r="Q213" i="35"/>
  <c r="M213" i="35"/>
  <c r="I213" i="35"/>
  <c r="U209" i="35"/>
  <c r="Q209" i="35"/>
  <c r="M209" i="35"/>
  <c r="I209" i="35"/>
  <c r="U205" i="35"/>
  <c r="Q205" i="35"/>
  <c r="M205" i="35"/>
  <c r="I205" i="35"/>
  <c r="Z202" i="35"/>
  <c r="X202" i="35" s="1"/>
  <c r="V202" i="35"/>
  <c r="R202" i="35"/>
  <c r="N202" i="35"/>
  <c r="J202" i="35"/>
  <c r="B202" i="35"/>
  <c r="U201" i="35"/>
  <c r="Q201" i="35"/>
  <c r="M201" i="35"/>
  <c r="I201" i="35"/>
  <c r="Z198" i="35"/>
  <c r="X198" i="35" s="1"/>
  <c r="V198" i="35"/>
  <c r="R198" i="35"/>
  <c r="N198" i="35"/>
  <c r="J198" i="35"/>
  <c r="B198" i="35"/>
  <c r="U197" i="35"/>
  <c r="Q197" i="35"/>
  <c r="M197" i="35"/>
  <c r="I197" i="35"/>
  <c r="Z194" i="35"/>
  <c r="X194" i="35" s="1"/>
  <c r="V194" i="35"/>
  <c r="R194" i="35"/>
  <c r="N194" i="35"/>
  <c r="J194" i="35"/>
  <c r="B194" i="35"/>
  <c r="AA192" i="35"/>
  <c r="U192" i="35"/>
  <c r="P192" i="35"/>
  <c r="Z190" i="35"/>
  <c r="X190" i="35" s="1"/>
  <c r="U190" i="35"/>
  <c r="O190" i="35"/>
  <c r="J190" i="35"/>
  <c r="B190" i="35"/>
  <c r="AA188" i="35"/>
  <c r="U188" i="35"/>
  <c r="P188" i="35"/>
  <c r="Z186" i="35"/>
  <c r="X186" i="35" s="1"/>
  <c r="U186" i="35"/>
  <c r="O186" i="35"/>
  <c r="J186" i="35"/>
  <c r="B186" i="35"/>
  <c r="AA184" i="35"/>
  <c r="U184" i="35"/>
  <c r="P184" i="35"/>
  <c r="Z182" i="35"/>
  <c r="X182" i="35" s="1"/>
  <c r="U182" i="35"/>
  <c r="O182" i="35"/>
  <c r="J182" i="35"/>
  <c r="B182" i="35"/>
  <c r="AA180" i="35"/>
  <c r="U180" i="35"/>
  <c r="P180" i="35"/>
  <c r="Z178" i="35"/>
  <c r="X178" i="35" s="1"/>
  <c r="S178" i="35"/>
  <c r="AA174" i="35"/>
  <c r="S174" i="35"/>
  <c r="AA170" i="35"/>
  <c r="S170" i="35"/>
  <c r="AA166" i="35"/>
  <c r="S166" i="35"/>
  <c r="B160" i="35"/>
  <c r="J160" i="35"/>
  <c r="N160" i="35"/>
  <c r="R160" i="35"/>
  <c r="V160" i="35"/>
  <c r="Z160" i="35"/>
  <c r="X160" i="35" s="1"/>
  <c r="L160" i="35"/>
  <c r="P160" i="35"/>
  <c r="T160" i="35"/>
  <c r="AB160" i="35"/>
  <c r="I160" i="35"/>
  <c r="M160" i="35"/>
  <c r="Q160" i="35"/>
  <c r="U160" i="35"/>
  <c r="L243" i="35"/>
  <c r="Z227" i="35"/>
  <c r="X227" i="35" s="1"/>
  <c r="V227" i="35"/>
  <c r="R227" i="35"/>
  <c r="N227" i="35"/>
  <c r="J227" i="35"/>
  <c r="K227" i="35" s="1"/>
  <c r="Z223" i="35"/>
  <c r="X223" i="35" s="1"/>
  <c r="V223" i="35"/>
  <c r="R223" i="35"/>
  <c r="N223" i="35"/>
  <c r="J223" i="35"/>
  <c r="AB221" i="35"/>
  <c r="X221" i="35"/>
  <c r="T221" i="35"/>
  <c r="P221" i="35"/>
  <c r="Z219" i="35"/>
  <c r="X219" i="35" s="1"/>
  <c r="V219" i="35"/>
  <c r="R219" i="35"/>
  <c r="N219" i="35"/>
  <c r="J219" i="35"/>
  <c r="AB217" i="35"/>
  <c r="T217" i="35"/>
  <c r="P217" i="35"/>
  <c r="Z215" i="35"/>
  <c r="X215" i="35" s="1"/>
  <c r="V215" i="35"/>
  <c r="R215" i="35"/>
  <c r="N215" i="35"/>
  <c r="J215" i="35"/>
  <c r="AB213" i="35"/>
  <c r="T213" i="35"/>
  <c r="P213" i="35"/>
  <c r="Z211" i="35"/>
  <c r="X211" i="35" s="1"/>
  <c r="V211" i="35"/>
  <c r="R211" i="35"/>
  <c r="N211" i="35"/>
  <c r="J211" i="35"/>
  <c r="AB209" i="35"/>
  <c r="T209" i="35"/>
  <c r="P209" i="35"/>
  <c r="Z207" i="35"/>
  <c r="X207" i="35" s="1"/>
  <c r="V207" i="35"/>
  <c r="R207" i="35"/>
  <c r="N207" i="35"/>
  <c r="J207" i="35"/>
  <c r="AB205" i="35"/>
  <c r="T205" i="35"/>
  <c r="P205" i="35"/>
  <c r="Z203" i="35"/>
  <c r="X203" i="35" s="1"/>
  <c r="V203" i="35"/>
  <c r="R203" i="35"/>
  <c r="N203" i="35"/>
  <c r="J203" i="35"/>
  <c r="U202" i="35"/>
  <c r="Q202" i="35"/>
  <c r="M202" i="35"/>
  <c r="AB201" i="35"/>
  <c r="T201" i="35"/>
  <c r="P201" i="35"/>
  <c r="Z199" i="35"/>
  <c r="X199" i="35" s="1"/>
  <c r="V199" i="35"/>
  <c r="R199" i="35"/>
  <c r="N199" i="35"/>
  <c r="J199" i="35"/>
  <c r="U198" i="35"/>
  <c r="Q198" i="35"/>
  <c r="M198" i="35"/>
  <c r="AB197" i="35"/>
  <c r="T197" i="35"/>
  <c r="P197" i="35"/>
  <c r="Z195" i="35"/>
  <c r="X195" i="35" s="1"/>
  <c r="V195" i="35"/>
  <c r="R195" i="35"/>
  <c r="N195" i="35"/>
  <c r="J195" i="35"/>
  <c r="U194" i="35"/>
  <c r="Q194" i="35"/>
  <c r="M194" i="35"/>
  <c r="T192" i="35"/>
  <c r="O192" i="35"/>
  <c r="I192" i="35"/>
  <c r="I191" i="35"/>
  <c r="M191" i="35"/>
  <c r="Q191" i="35"/>
  <c r="U191" i="35"/>
  <c r="S190" i="35"/>
  <c r="N190" i="35"/>
  <c r="I190" i="35"/>
  <c r="T188" i="35"/>
  <c r="O188" i="35"/>
  <c r="I188" i="35"/>
  <c r="I187" i="35"/>
  <c r="M187" i="35"/>
  <c r="Q187" i="35"/>
  <c r="U187" i="35"/>
  <c r="S186" i="35"/>
  <c r="N186" i="35"/>
  <c r="I186" i="35"/>
  <c r="K186" i="35" s="1"/>
  <c r="T184" i="35"/>
  <c r="O184" i="35"/>
  <c r="I184" i="35"/>
  <c r="I183" i="35"/>
  <c r="M183" i="35"/>
  <c r="Q183" i="35"/>
  <c r="U183" i="35"/>
  <c r="S182" i="35"/>
  <c r="N182" i="35"/>
  <c r="I182" i="35"/>
  <c r="T180" i="35"/>
  <c r="O180" i="35"/>
  <c r="I180" i="35"/>
  <c r="I179" i="35"/>
  <c r="M179" i="35"/>
  <c r="Q179" i="35"/>
  <c r="U179" i="35"/>
  <c r="Q178" i="35"/>
  <c r="I178" i="35"/>
  <c r="B176" i="35"/>
  <c r="J176" i="35"/>
  <c r="N176" i="35"/>
  <c r="R176" i="35"/>
  <c r="V176" i="35"/>
  <c r="Z176" i="35"/>
  <c r="X176" i="35" s="1"/>
  <c r="L176" i="35"/>
  <c r="P176" i="35"/>
  <c r="T176" i="35"/>
  <c r="AB176" i="35"/>
  <c r="Q174" i="35"/>
  <c r="I174" i="35"/>
  <c r="B172" i="35"/>
  <c r="J172" i="35"/>
  <c r="N172" i="35"/>
  <c r="R172" i="35"/>
  <c r="V172" i="35"/>
  <c r="Z172" i="35"/>
  <c r="X172" i="35" s="1"/>
  <c r="L172" i="35"/>
  <c r="P172" i="35"/>
  <c r="T172" i="35"/>
  <c r="AB172" i="35"/>
  <c r="Q170" i="35"/>
  <c r="I170" i="35"/>
  <c r="B168" i="35"/>
  <c r="J168" i="35"/>
  <c r="K168" i="35" s="1"/>
  <c r="N168" i="35"/>
  <c r="R168" i="35"/>
  <c r="V168" i="35"/>
  <c r="Z168" i="35"/>
  <c r="L168" i="35"/>
  <c r="P168" i="35"/>
  <c r="T168" i="35"/>
  <c r="X168" i="35"/>
  <c r="AB168" i="35"/>
  <c r="Q166" i="35"/>
  <c r="I166" i="35"/>
  <c r="K166" i="35" s="1"/>
  <c r="B164" i="35"/>
  <c r="J164" i="35"/>
  <c r="N164" i="35"/>
  <c r="R164" i="35"/>
  <c r="V164" i="35"/>
  <c r="Z164" i="35"/>
  <c r="X164" i="35" s="1"/>
  <c r="L164" i="35"/>
  <c r="P164" i="35"/>
  <c r="T164" i="35"/>
  <c r="AB164" i="35"/>
  <c r="AA160" i="35"/>
  <c r="O160" i="35"/>
  <c r="W156" i="35"/>
  <c r="U152" i="35"/>
  <c r="Q152" i="35"/>
  <c r="M152" i="35"/>
  <c r="I152" i="35"/>
  <c r="U148" i="35"/>
  <c r="Q148" i="35"/>
  <c r="M148" i="35"/>
  <c r="I148" i="35"/>
  <c r="U144" i="35"/>
  <c r="Q144" i="35"/>
  <c r="M144" i="35"/>
  <c r="I144" i="35"/>
  <c r="U140" i="35"/>
  <c r="Q140" i="35"/>
  <c r="M140" i="35"/>
  <c r="I140" i="35"/>
  <c r="U136" i="35"/>
  <c r="Q136" i="35"/>
  <c r="M136" i="35"/>
  <c r="I136" i="35"/>
  <c r="U132" i="35"/>
  <c r="Q132" i="35"/>
  <c r="M132" i="35"/>
  <c r="I132" i="35"/>
  <c r="B129" i="35"/>
  <c r="J129" i="35"/>
  <c r="K129" i="35" s="1"/>
  <c r="N129" i="35"/>
  <c r="R129" i="35"/>
  <c r="T128" i="35"/>
  <c r="O128" i="35"/>
  <c r="J128" i="35"/>
  <c r="L127" i="35"/>
  <c r="P127" i="35"/>
  <c r="T127" i="35"/>
  <c r="AB127" i="35"/>
  <c r="B125" i="35"/>
  <c r="J125" i="35"/>
  <c r="K125" i="35" s="1"/>
  <c r="N125" i="35"/>
  <c r="R125" i="35"/>
  <c r="V125" i="35"/>
  <c r="Z125" i="35"/>
  <c r="X125" i="35" s="1"/>
  <c r="T122" i="35"/>
  <c r="I122" i="35"/>
  <c r="Z162" i="35"/>
  <c r="V162" i="35"/>
  <c r="R162" i="35"/>
  <c r="N162" i="35"/>
  <c r="J162" i="35"/>
  <c r="B162" i="35"/>
  <c r="Z158" i="35"/>
  <c r="X158" i="35" s="1"/>
  <c r="V158" i="35"/>
  <c r="R158" i="35"/>
  <c r="N158" i="35"/>
  <c r="J158" i="35"/>
  <c r="K158" i="35" s="1"/>
  <c r="B158" i="35"/>
  <c r="Z154" i="35"/>
  <c r="X154" i="35" s="1"/>
  <c r="V154" i="35"/>
  <c r="R154" i="35"/>
  <c r="N154" i="35"/>
  <c r="J154" i="35"/>
  <c r="B154" i="35"/>
  <c r="AB152" i="35"/>
  <c r="T152" i="35"/>
  <c r="P152" i="35"/>
  <c r="L152" i="35"/>
  <c r="Z150" i="35"/>
  <c r="X150" i="35" s="1"/>
  <c r="V150" i="35"/>
  <c r="R150" i="35"/>
  <c r="N150" i="35"/>
  <c r="J150" i="35"/>
  <c r="B150" i="35"/>
  <c r="AB148" i="35"/>
  <c r="T148" i="35"/>
  <c r="P148" i="35"/>
  <c r="L148" i="35"/>
  <c r="Z146" i="35"/>
  <c r="X146" i="35" s="1"/>
  <c r="V146" i="35"/>
  <c r="R146" i="35"/>
  <c r="N146" i="35"/>
  <c r="J146" i="35"/>
  <c r="B146" i="35"/>
  <c r="AB144" i="35"/>
  <c r="T144" i="35"/>
  <c r="P144" i="35"/>
  <c r="L144" i="35"/>
  <c r="Z142" i="35"/>
  <c r="X142" i="35" s="1"/>
  <c r="V142" i="35"/>
  <c r="R142" i="35"/>
  <c r="N142" i="35"/>
  <c r="J142" i="35"/>
  <c r="B142" i="35"/>
  <c r="AB140" i="35"/>
  <c r="T140" i="35"/>
  <c r="P140" i="35"/>
  <c r="L140" i="35"/>
  <c r="Z138" i="35"/>
  <c r="X138" i="35" s="1"/>
  <c r="V138" i="35"/>
  <c r="R138" i="35"/>
  <c r="N138" i="35"/>
  <c r="J138" i="35"/>
  <c r="B138" i="35"/>
  <c r="AB136" i="35"/>
  <c r="T136" i="35"/>
  <c r="P136" i="35"/>
  <c r="L136" i="35"/>
  <c r="Z134" i="35"/>
  <c r="X134" i="35" s="1"/>
  <c r="V134" i="35"/>
  <c r="R134" i="35"/>
  <c r="N134" i="35"/>
  <c r="J134" i="35"/>
  <c r="B134" i="35"/>
  <c r="AB132" i="35"/>
  <c r="T132" i="35"/>
  <c r="P132" i="35"/>
  <c r="L132" i="35"/>
  <c r="Z130" i="35"/>
  <c r="X130" i="35" s="1"/>
  <c r="V130" i="35"/>
  <c r="R130" i="35"/>
  <c r="N130" i="35"/>
  <c r="J130" i="35"/>
  <c r="K130" i="35" s="1"/>
  <c r="B130" i="35"/>
  <c r="U129" i="35"/>
  <c r="P129" i="35"/>
  <c r="AB128" i="35"/>
  <c r="S128" i="35"/>
  <c r="Z127" i="35"/>
  <c r="X127" i="35" s="1"/>
  <c r="U127" i="35"/>
  <c r="O127" i="35"/>
  <c r="J127" i="35"/>
  <c r="B127" i="35"/>
  <c r="AA125" i="35"/>
  <c r="U125" i="35"/>
  <c r="P125" i="35"/>
  <c r="AB122" i="35"/>
  <c r="AB118" i="35"/>
  <c r="I128" i="35"/>
  <c r="M128" i="35"/>
  <c r="Q128" i="35"/>
  <c r="U128" i="35"/>
  <c r="B122" i="35"/>
  <c r="J122" i="35"/>
  <c r="N122" i="35"/>
  <c r="R122" i="35"/>
  <c r="V122" i="35"/>
  <c r="Z122" i="35"/>
  <c r="X122" i="35" s="1"/>
  <c r="M122" i="35"/>
  <c r="S122" i="35"/>
  <c r="P122" i="35"/>
  <c r="U122" i="35"/>
  <c r="AA122" i="35"/>
  <c r="U175" i="35"/>
  <c r="Q175" i="35"/>
  <c r="M175" i="35"/>
  <c r="U171" i="35"/>
  <c r="Q171" i="35"/>
  <c r="M171" i="35"/>
  <c r="U167" i="35"/>
  <c r="Q167" i="35"/>
  <c r="M167" i="35"/>
  <c r="U163" i="35"/>
  <c r="Q163" i="35"/>
  <c r="M163" i="35"/>
  <c r="AB162" i="35"/>
  <c r="X162" i="35"/>
  <c r="T162" i="35"/>
  <c r="P162" i="35"/>
  <c r="U159" i="35"/>
  <c r="Q159" i="35"/>
  <c r="M159" i="35"/>
  <c r="AB158" i="35"/>
  <c r="T158" i="35"/>
  <c r="P158" i="35"/>
  <c r="U155" i="35"/>
  <c r="Q155" i="35"/>
  <c r="M155" i="35"/>
  <c r="AB154" i="35"/>
  <c r="T154" i="35"/>
  <c r="P154" i="35"/>
  <c r="Z152" i="35"/>
  <c r="X152" i="35" s="1"/>
  <c r="V152" i="35"/>
  <c r="R152" i="35"/>
  <c r="N152" i="35"/>
  <c r="J152" i="35"/>
  <c r="U151" i="35"/>
  <c r="Q151" i="35"/>
  <c r="M151" i="35"/>
  <c r="AB150" i="35"/>
  <c r="T150" i="35"/>
  <c r="P150" i="35"/>
  <c r="Z148" i="35"/>
  <c r="X148" i="35" s="1"/>
  <c r="V148" i="35"/>
  <c r="R148" i="35"/>
  <c r="N148" i="35"/>
  <c r="J148" i="35"/>
  <c r="U147" i="35"/>
  <c r="Q147" i="35"/>
  <c r="M147" i="35"/>
  <c r="AB146" i="35"/>
  <c r="T146" i="35"/>
  <c r="P146" i="35"/>
  <c r="Z144" i="35"/>
  <c r="X144" i="35" s="1"/>
  <c r="V144" i="35"/>
  <c r="R144" i="35"/>
  <c r="N144" i="35"/>
  <c r="J144" i="35"/>
  <c r="U143" i="35"/>
  <c r="Q143" i="35"/>
  <c r="M143" i="35"/>
  <c r="AB142" i="35"/>
  <c r="T142" i="35"/>
  <c r="P142" i="35"/>
  <c r="Z140" i="35"/>
  <c r="X140" i="35" s="1"/>
  <c r="V140" i="35"/>
  <c r="R140" i="35"/>
  <c r="N140" i="35"/>
  <c r="J140" i="35"/>
  <c r="U139" i="35"/>
  <c r="Q139" i="35"/>
  <c r="M139" i="35"/>
  <c r="AB138" i="35"/>
  <c r="T138" i="35"/>
  <c r="P138" i="35"/>
  <c r="Z136" i="35"/>
  <c r="X136" i="35" s="1"/>
  <c r="V136" i="35"/>
  <c r="R136" i="35"/>
  <c r="N136" i="35"/>
  <c r="J136" i="35"/>
  <c r="U135" i="35"/>
  <c r="Q135" i="35"/>
  <c r="M135" i="35"/>
  <c r="AB134" i="35"/>
  <c r="T134" i="35"/>
  <c r="P134" i="35"/>
  <c r="Z132" i="35"/>
  <c r="X132" i="35" s="1"/>
  <c r="V132" i="35"/>
  <c r="R132" i="35"/>
  <c r="N132" i="35"/>
  <c r="J132" i="35"/>
  <c r="U131" i="35"/>
  <c r="Q131" i="35"/>
  <c r="M131" i="35"/>
  <c r="AB130" i="35"/>
  <c r="T130" i="35"/>
  <c r="P130" i="35"/>
  <c r="AA129" i="35"/>
  <c r="W129" i="35"/>
  <c r="S129" i="35"/>
  <c r="M129" i="35"/>
  <c r="Z128" i="35"/>
  <c r="X128" i="35" s="1"/>
  <c r="V128" i="35"/>
  <c r="P128" i="35"/>
  <c r="B128" i="35"/>
  <c r="W127" i="35"/>
  <c r="R127" i="35"/>
  <c r="M127" i="35"/>
  <c r="S125" i="35"/>
  <c r="M125" i="35"/>
  <c r="W122" i="35"/>
  <c r="L122" i="35"/>
  <c r="L120" i="35"/>
  <c r="P120" i="35"/>
  <c r="T120" i="35"/>
  <c r="AB120" i="35"/>
  <c r="M120" i="35"/>
  <c r="R120" i="35"/>
  <c r="W120" i="35"/>
  <c r="I120" i="35"/>
  <c r="N120" i="35"/>
  <c r="S120" i="35"/>
  <c r="B120" i="35"/>
  <c r="J120" i="35"/>
  <c r="O120" i="35"/>
  <c r="U120" i="35"/>
  <c r="Z120" i="35"/>
  <c r="X120" i="35" s="1"/>
  <c r="B118" i="35"/>
  <c r="J118" i="35"/>
  <c r="N118" i="35"/>
  <c r="R118" i="35"/>
  <c r="V118" i="35"/>
  <c r="Z118" i="35"/>
  <c r="X118" i="35" s="1"/>
  <c r="M118" i="35"/>
  <c r="S118" i="35"/>
  <c r="I118" i="35"/>
  <c r="O118" i="35"/>
  <c r="T118" i="35"/>
  <c r="P118" i="35"/>
  <c r="U118" i="35"/>
  <c r="AA118" i="35"/>
  <c r="L116" i="35"/>
  <c r="P116" i="35"/>
  <c r="T116" i="35"/>
  <c r="AB116" i="35"/>
  <c r="B114" i="35"/>
  <c r="J114" i="35"/>
  <c r="N114" i="35"/>
  <c r="R114" i="35"/>
  <c r="V114" i="35"/>
  <c r="Z114" i="35"/>
  <c r="X114" i="35" s="1"/>
  <c r="L112" i="35"/>
  <c r="P112" i="35"/>
  <c r="T112" i="35"/>
  <c r="AB112" i="35"/>
  <c r="B110" i="35"/>
  <c r="J110" i="35"/>
  <c r="N110" i="35"/>
  <c r="R110" i="35"/>
  <c r="V110" i="35"/>
  <c r="Z110" i="35"/>
  <c r="X110" i="35" s="1"/>
  <c r="L108" i="35"/>
  <c r="P108" i="35"/>
  <c r="T108" i="35"/>
  <c r="AB108" i="35"/>
  <c r="B106" i="35"/>
  <c r="J106" i="35"/>
  <c r="N106" i="35"/>
  <c r="R106" i="35"/>
  <c r="V106" i="35"/>
  <c r="Z106" i="35"/>
  <c r="X106" i="35" s="1"/>
  <c r="I106" i="35"/>
  <c r="M106" i="35"/>
  <c r="Q106" i="35"/>
  <c r="U106" i="35"/>
  <c r="K104" i="35"/>
  <c r="Z101" i="35"/>
  <c r="X101" i="35" s="1"/>
  <c r="S101" i="35"/>
  <c r="B101" i="35"/>
  <c r="U124" i="35"/>
  <c r="Q124" i="35"/>
  <c r="M124" i="35"/>
  <c r="AB121" i="35"/>
  <c r="S121" i="35"/>
  <c r="AB117" i="35"/>
  <c r="S117" i="35"/>
  <c r="Z116" i="35"/>
  <c r="X116" i="35" s="1"/>
  <c r="U116" i="35"/>
  <c r="O116" i="35"/>
  <c r="J116" i="35"/>
  <c r="B116" i="35"/>
  <c r="AA114" i="35"/>
  <c r="U114" i="35"/>
  <c r="P114" i="35"/>
  <c r="AB113" i="35"/>
  <c r="S113" i="35"/>
  <c r="Z112" i="35"/>
  <c r="X112" i="35" s="1"/>
  <c r="U112" i="35"/>
  <c r="O112" i="35"/>
  <c r="J112" i="35"/>
  <c r="B112" i="35"/>
  <c r="AA110" i="35"/>
  <c r="U110" i="35"/>
  <c r="P110" i="35"/>
  <c r="AB109" i="35"/>
  <c r="S109" i="35"/>
  <c r="Z108" i="35"/>
  <c r="X108" i="35" s="1"/>
  <c r="U108" i="35"/>
  <c r="O108" i="35"/>
  <c r="J108" i="35"/>
  <c r="B108" i="35"/>
  <c r="AA106" i="35"/>
  <c r="T106" i="35"/>
  <c r="L106" i="35"/>
  <c r="I105" i="35"/>
  <c r="K105" i="35" s="1"/>
  <c r="M105" i="35"/>
  <c r="Q105" i="35"/>
  <c r="U105" i="35"/>
  <c r="L105" i="35"/>
  <c r="P105" i="35"/>
  <c r="T105" i="35"/>
  <c r="X105" i="35"/>
  <c r="AB105" i="35"/>
  <c r="R101" i="35"/>
  <c r="J101" i="35"/>
  <c r="I121" i="35"/>
  <c r="K121" i="35" s="1"/>
  <c r="M121" i="35"/>
  <c r="Q121" i="35"/>
  <c r="U121" i="35"/>
  <c r="I117" i="35"/>
  <c r="M117" i="35"/>
  <c r="Q117" i="35"/>
  <c r="U117" i="35"/>
  <c r="S116" i="35"/>
  <c r="N116" i="35"/>
  <c r="I116" i="35"/>
  <c r="T114" i="35"/>
  <c r="O114" i="35"/>
  <c r="I114" i="35"/>
  <c r="I113" i="35"/>
  <c r="M113" i="35"/>
  <c r="Q113" i="35"/>
  <c r="U113" i="35"/>
  <c r="S112" i="35"/>
  <c r="N112" i="35"/>
  <c r="I112" i="35"/>
  <c r="T110" i="35"/>
  <c r="O110" i="35"/>
  <c r="I110" i="35"/>
  <c r="I109" i="35"/>
  <c r="K109" i="35" s="1"/>
  <c r="M109" i="35"/>
  <c r="Q109" i="35"/>
  <c r="U109" i="35"/>
  <c r="S108" i="35"/>
  <c r="N108" i="35"/>
  <c r="I108" i="35"/>
  <c r="B102" i="35"/>
  <c r="J102" i="35"/>
  <c r="N102" i="35"/>
  <c r="R102" i="35"/>
  <c r="V102" i="35"/>
  <c r="Z102" i="35"/>
  <c r="X102" i="35" s="1"/>
  <c r="I102" i="35"/>
  <c r="M102" i="35"/>
  <c r="Q102" i="35"/>
  <c r="U102" i="35"/>
  <c r="W101" i="35"/>
  <c r="Z121" i="35"/>
  <c r="X121" i="35" s="1"/>
  <c r="V121" i="35"/>
  <c r="P121" i="35"/>
  <c r="B121" i="35"/>
  <c r="Z117" i="35"/>
  <c r="X117" i="35" s="1"/>
  <c r="V117" i="35"/>
  <c r="P117" i="35"/>
  <c r="B117" i="35"/>
  <c r="W116" i="35"/>
  <c r="R116" i="35"/>
  <c r="M116" i="35"/>
  <c r="S114" i="35"/>
  <c r="M114" i="35"/>
  <c r="W112" i="35"/>
  <c r="R112" i="35"/>
  <c r="M112" i="35"/>
  <c r="I101" i="35"/>
  <c r="M101" i="35"/>
  <c r="Q101" i="35"/>
  <c r="U101" i="35"/>
  <c r="L101" i="35"/>
  <c r="P101" i="35"/>
  <c r="T101" i="35"/>
  <c r="AB101" i="35"/>
  <c r="U98" i="35"/>
  <c r="Q98" i="35"/>
  <c r="M98" i="35"/>
  <c r="I98" i="35"/>
  <c r="AB97" i="35"/>
  <c r="T97" i="35"/>
  <c r="P97" i="35"/>
  <c r="L97" i="35"/>
  <c r="U94" i="35"/>
  <c r="Q94" i="35"/>
  <c r="M94" i="35"/>
  <c r="I94" i="35"/>
  <c r="AB93" i="35"/>
  <c r="T93" i="35"/>
  <c r="P93" i="35"/>
  <c r="L93" i="35"/>
  <c r="U90" i="35"/>
  <c r="Q90" i="35"/>
  <c r="M90" i="35"/>
  <c r="I90" i="35"/>
  <c r="AB89" i="35"/>
  <c r="T89" i="35"/>
  <c r="P89" i="35"/>
  <c r="L89" i="35"/>
  <c r="U86" i="35"/>
  <c r="Q86" i="35"/>
  <c r="M86" i="35"/>
  <c r="I86" i="35"/>
  <c r="AB85" i="35"/>
  <c r="T85" i="35"/>
  <c r="P85" i="35"/>
  <c r="L85" i="35"/>
  <c r="U82" i="35"/>
  <c r="Q82" i="35"/>
  <c r="M82" i="35"/>
  <c r="I82" i="35"/>
  <c r="AB81" i="35"/>
  <c r="X81" i="35"/>
  <c r="T81" i="35"/>
  <c r="P81" i="35"/>
  <c r="L81" i="35"/>
  <c r="AB77" i="35"/>
  <c r="W77" i="35"/>
  <c r="B74" i="35"/>
  <c r="J74" i="35"/>
  <c r="K74" i="35" s="1"/>
  <c r="N74" i="35"/>
  <c r="R74" i="35"/>
  <c r="V74" i="35"/>
  <c r="Z74" i="35"/>
  <c r="X74" i="35" s="1"/>
  <c r="M74" i="35"/>
  <c r="S74" i="35"/>
  <c r="R73" i="35"/>
  <c r="J73" i="35"/>
  <c r="L72" i="35"/>
  <c r="P72" i="35"/>
  <c r="T72" i="35"/>
  <c r="AB72" i="35"/>
  <c r="M72" i="35"/>
  <c r="R72" i="35"/>
  <c r="W72" i="35"/>
  <c r="AB70" i="35"/>
  <c r="U70" i="35"/>
  <c r="B62" i="35"/>
  <c r="J62" i="35"/>
  <c r="N62" i="35"/>
  <c r="R62" i="35"/>
  <c r="V62" i="35"/>
  <c r="Z62" i="35"/>
  <c r="X62" i="35" s="1"/>
  <c r="M62" i="35"/>
  <c r="S62" i="35"/>
  <c r="I62" i="35"/>
  <c r="O62" i="35"/>
  <c r="T62" i="35"/>
  <c r="I77" i="35"/>
  <c r="M77" i="35"/>
  <c r="Q77" i="35"/>
  <c r="U77" i="35"/>
  <c r="B77" i="35"/>
  <c r="P77" i="35"/>
  <c r="V77" i="35"/>
  <c r="Z77" i="35"/>
  <c r="X77" i="35" s="1"/>
  <c r="AB73" i="35"/>
  <c r="W73" i="35"/>
  <c r="B70" i="35"/>
  <c r="J70" i="35"/>
  <c r="N70" i="35"/>
  <c r="R70" i="35"/>
  <c r="V70" i="35"/>
  <c r="Z70" i="35"/>
  <c r="X70" i="35" s="1"/>
  <c r="M70" i="35"/>
  <c r="S70" i="35"/>
  <c r="L68" i="35"/>
  <c r="P68" i="35"/>
  <c r="T68" i="35"/>
  <c r="AB68" i="35"/>
  <c r="M68" i="35"/>
  <c r="R68" i="35"/>
  <c r="W68" i="35"/>
  <c r="AB66" i="35"/>
  <c r="U66" i="35"/>
  <c r="W62" i="35"/>
  <c r="L62" i="35"/>
  <c r="L60" i="35"/>
  <c r="P60" i="35"/>
  <c r="T60" i="35"/>
  <c r="X60" i="35"/>
  <c r="AB60" i="35"/>
  <c r="M60" i="35"/>
  <c r="R60" i="35"/>
  <c r="W60" i="35"/>
  <c r="I60" i="35"/>
  <c r="N60" i="35"/>
  <c r="S60" i="35"/>
  <c r="Z97" i="35"/>
  <c r="X97" i="35" s="1"/>
  <c r="V97" i="35"/>
  <c r="R97" i="35"/>
  <c r="N97" i="35"/>
  <c r="J97" i="35"/>
  <c r="K97" i="35" s="1"/>
  <c r="B97" i="35"/>
  <c r="Z93" i="35"/>
  <c r="X93" i="35" s="1"/>
  <c r="V93" i="35"/>
  <c r="R93" i="35"/>
  <c r="N93" i="35"/>
  <c r="J93" i="35"/>
  <c r="B93" i="35"/>
  <c r="Z89" i="35"/>
  <c r="X89" i="35" s="1"/>
  <c r="V89" i="35"/>
  <c r="R89" i="35"/>
  <c r="N89" i="35"/>
  <c r="J89" i="35"/>
  <c r="B89" i="35"/>
  <c r="Z85" i="35"/>
  <c r="X85" i="35" s="1"/>
  <c r="V85" i="35"/>
  <c r="R85" i="35"/>
  <c r="N85" i="35"/>
  <c r="J85" i="35"/>
  <c r="K85" i="35" s="1"/>
  <c r="B85" i="35"/>
  <c r="N81" i="35"/>
  <c r="J81" i="35"/>
  <c r="B81" i="35"/>
  <c r="I73" i="35"/>
  <c r="M73" i="35"/>
  <c r="Q73" i="35"/>
  <c r="U73" i="35"/>
  <c r="B73" i="35"/>
  <c r="P73" i="35"/>
  <c r="V73" i="35"/>
  <c r="Z73" i="35"/>
  <c r="X73" i="35" s="1"/>
  <c r="B66" i="35"/>
  <c r="J66" i="35"/>
  <c r="K66" i="35" s="1"/>
  <c r="N66" i="35"/>
  <c r="R66" i="35"/>
  <c r="V66" i="35"/>
  <c r="Z66" i="35"/>
  <c r="X66" i="35" s="1"/>
  <c r="M66" i="35"/>
  <c r="S66" i="35"/>
  <c r="AB62" i="35"/>
  <c r="U62" i="35"/>
  <c r="V60" i="35"/>
  <c r="B60" i="35"/>
  <c r="AB104" i="35"/>
  <c r="X104" i="35"/>
  <c r="T104" i="35"/>
  <c r="P104" i="35"/>
  <c r="AB100" i="35"/>
  <c r="T100" i="35"/>
  <c r="P100" i="35"/>
  <c r="Z98" i="35"/>
  <c r="X98" i="35" s="1"/>
  <c r="V98" i="35"/>
  <c r="R98" i="35"/>
  <c r="N98" i="35"/>
  <c r="J98" i="35"/>
  <c r="U97" i="35"/>
  <c r="Q97" i="35"/>
  <c r="M97" i="35"/>
  <c r="AB96" i="35"/>
  <c r="T96" i="35"/>
  <c r="P96" i="35"/>
  <c r="Z94" i="35"/>
  <c r="X94" i="35" s="1"/>
  <c r="V94" i="35"/>
  <c r="R94" i="35"/>
  <c r="N94" i="35"/>
  <c r="J94" i="35"/>
  <c r="U93" i="35"/>
  <c r="Q93" i="35"/>
  <c r="M93" i="35"/>
  <c r="AB92" i="35"/>
  <c r="X92" i="35"/>
  <c r="T92" i="35"/>
  <c r="P92" i="35"/>
  <c r="Z90" i="35"/>
  <c r="X90" i="35" s="1"/>
  <c r="V90" i="35"/>
  <c r="R90" i="35"/>
  <c r="N90" i="35"/>
  <c r="J90" i="35"/>
  <c r="U89" i="35"/>
  <c r="Q89" i="35"/>
  <c r="M89" i="35"/>
  <c r="AB88" i="35"/>
  <c r="T88" i="35"/>
  <c r="P88" i="35"/>
  <c r="Z86" i="35"/>
  <c r="X86" i="35" s="1"/>
  <c r="V86" i="35"/>
  <c r="R86" i="35"/>
  <c r="N86" i="35"/>
  <c r="J86" i="35"/>
  <c r="U85" i="35"/>
  <c r="Q85" i="35"/>
  <c r="M85" i="35"/>
  <c r="AB84" i="35"/>
  <c r="T84" i="35"/>
  <c r="P84" i="35"/>
  <c r="Z82" i="35"/>
  <c r="X82" i="35" s="1"/>
  <c r="V82" i="35"/>
  <c r="R82" i="35"/>
  <c r="N82" i="35"/>
  <c r="J82" i="35"/>
  <c r="U81" i="35"/>
  <c r="Q81" i="35"/>
  <c r="M81" i="35"/>
  <c r="AB80" i="35"/>
  <c r="X80" i="35"/>
  <c r="T80" i="35"/>
  <c r="P80" i="35"/>
  <c r="B78" i="35"/>
  <c r="J78" i="35"/>
  <c r="K78" i="35" s="1"/>
  <c r="M78" i="35"/>
  <c r="Q78" i="35"/>
  <c r="R77" i="35"/>
  <c r="J77" i="35"/>
  <c r="L76" i="35"/>
  <c r="P76" i="35"/>
  <c r="T76" i="35"/>
  <c r="AB76" i="35"/>
  <c r="M76" i="35"/>
  <c r="R76" i="35"/>
  <c r="W76" i="35"/>
  <c r="AB74" i="35"/>
  <c r="U74" i="35"/>
  <c r="O74" i="35"/>
  <c r="S73" i="35"/>
  <c r="L73" i="35"/>
  <c r="AA72" i="35"/>
  <c r="U72" i="35"/>
  <c r="N72" i="35"/>
  <c r="W70" i="35"/>
  <c r="P70" i="35"/>
  <c r="I70" i="35"/>
  <c r="I69" i="35"/>
  <c r="K69" i="35" s="1"/>
  <c r="M69" i="35"/>
  <c r="Q69" i="35"/>
  <c r="U69" i="35"/>
  <c r="B69" i="35"/>
  <c r="P69" i="35"/>
  <c r="V69" i="35"/>
  <c r="Z69" i="35"/>
  <c r="X69" i="35" s="1"/>
  <c r="V68" i="35"/>
  <c r="O68" i="35"/>
  <c r="I68" i="35"/>
  <c r="Q66" i="35"/>
  <c r="L64" i="35"/>
  <c r="P64" i="35"/>
  <c r="T64" i="35"/>
  <c r="X64" i="35"/>
  <c r="AB64" i="35"/>
  <c r="M64" i="35"/>
  <c r="R64" i="35"/>
  <c r="W64" i="35"/>
  <c r="I64" i="35"/>
  <c r="K64" i="35" s="1"/>
  <c r="N64" i="35"/>
  <c r="S64" i="35"/>
  <c r="AA62" i="35"/>
  <c r="Q62" i="35"/>
  <c r="AA60" i="35"/>
  <c r="U60" i="35"/>
  <c r="J60" i="35"/>
  <c r="L47" i="35"/>
  <c r="P47" i="35"/>
  <c r="T47" i="35"/>
  <c r="AB47" i="35"/>
  <c r="M47" i="35"/>
  <c r="R47" i="35"/>
  <c r="W47" i="35"/>
  <c r="I47" i="35"/>
  <c r="N47" i="35"/>
  <c r="S47" i="35"/>
  <c r="I65" i="35"/>
  <c r="M65" i="35"/>
  <c r="Q65" i="35"/>
  <c r="U65" i="35"/>
  <c r="I61" i="35"/>
  <c r="M61" i="35"/>
  <c r="Q61" i="35"/>
  <c r="U61" i="35"/>
  <c r="T58" i="35"/>
  <c r="O58" i="35"/>
  <c r="I58" i="35"/>
  <c r="I57" i="35"/>
  <c r="M57" i="35"/>
  <c r="Q57" i="35"/>
  <c r="U57" i="35"/>
  <c r="S56" i="35"/>
  <c r="N56" i="35"/>
  <c r="I56" i="35"/>
  <c r="T54" i="35"/>
  <c r="O54" i="35"/>
  <c r="I54" i="35"/>
  <c r="I53" i="35"/>
  <c r="K53" i="35" s="1"/>
  <c r="M53" i="35"/>
  <c r="Q53" i="35"/>
  <c r="U53" i="35"/>
  <c r="R52" i="35"/>
  <c r="J52" i="35"/>
  <c r="V47" i="35"/>
  <c r="B47" i="35"/>
  <c r="B45" i="35"/>
  <c r="J45" i="35"/>
  <c r="N45" i="35"/>
  <c r="R45" i="35"/>
  <c r="V45" i="35"/>
  <c r="Z45" i="35"/>
  <c r="X45" i="35" s="1"/>
  <c r="M45" i="35"/>
  <c r="S45" i="35"/>
  <c r="I45" i="35"/>
  <c r="O45" i="35"/>
  <c r="T45" i="35"/>
  <c r="AB41" i="35"/>
  <c r="U41" i="35"/>
  <c r="Z65" i="35"/>
  <c r="X65" i="35" s="1"/>
  <c r="V65" i="35"/>
  <c r="P65" i="35"/>
  <c r="B65" i="35"/>
  <c r="Z61" i="35"/>
  <c r="X61" i="35" s="1"/>
  <c r="V61" i="35"/>
  <c r="P61" i="35"/>
  <c r="B61" i="35"/>
  <c r="S58" i="35"/>
  <c r="Z57" i="35"/>
  <c r="X57" i="35" s="1"/>
  <c r="V57" i="35"/>
  <c r="P57" i="35"/>
  <c r="B57" i="35"/>
  <c r="W56" i="35"/>
  <c r="R56" i="35"/>
  <c r="S54" i="35"/>
  <c r="Z53" i="35"/>
  <c r="X53" i="35" s="1"/>
  <c r="V53" i="35"/>
  <c r="P53" i="35"/>
  <c r="B53" i="35"/>
  <c r="W52" i="35"/>
  <c r="I49" i="35"/>
  <c r="M49" i="35"/>
  <c r="Q49" i="35"/>
  <c r="U49" i="35"/>
  <c r="B49" i="35"/>
  <c r="J49" i="35"/>
  <c r="N49" i="35"/>
  <c r="R49" i="35"/>
  <c r="V49" i="35"/>
  <c r="Z49" i="35"/>
  <c r="X49" i="35" s="1"/>
  <c r="AA47" i="35"/>
  <c r="U47" i="35"/>
  <c r="J47" i="35"/>
  <c r="W45" i="35"/>
  <c r="L45" i="35"/>
  <c r="L43" i="35"/>
  <c r="P43" i="35"/>
  <c r="T43" i="35"/>
  <c r="AB43" i="35"/>
  <c r="M43" i="35"/>
  <c r="R43" i="35"/>
  <c r="W43" i="35"/>
  <c r="I43" i="35"/>
  <c r="K43" i="35" s="1"/>
  <c r="N43" i="35"/>
  <c r="S43" i="35"/>
  <c r="AA41" i="35"/>
  <c r="B58" i="35"/>
  <c r="J58" i="35"/>
  <c r="N58" i="35"/>
  <c r="R58" i="35"/>
  <c r="V58" i="35"/>
  <c r="Z58" i="35"/>
  <c r="X58" i="35" s="1"/>
  <c r="L56" i="35"/>
  <c r="P56" i="35"/>
  <c r="T56" i="35"/>
  <c r="X56" i="35"/>
  <c r="AB56" i="35"/>
  <c r="B54" i="35"/>
  <c r="J54" i="35"/>
  <c r="N54" i="35"/>
  <c r="R54" i="35"/>
  <c r="V54" i="35"/>
  <c r="Z54" i="35"/>
  <c r="X54" i="35" s="1"/>
  <c r="L52" i="35"/>
  <c r="P52" i="35"/>
  <c r="T52" i="35"/>
  <c r="AB52" i="35"/>
  <c r="I52" i="35"/>
  <c r="M52" i="35"/>
  <c r="Q52" i="35"/>
  <c r="U52" i="35"/>
  <c r="Z47" i="35"/>
  <c r="X47" i="35" s="1"/>
  <c r="Q47" i="35"/>
  <c r="B41" i="35"/>
  <c r="J41" i="35"/>
  <c r="N41" i="35"/>
  <c r="R41" i="35"/>
  <c r="V41" i="35"/>
  <c r="Z41" i="35"/>
  <c r="X41" i="35" s="1"/>
  <c r="M41" i="35"/>
  <c r="S41" i="35"/>
  <c r="I41" i="35"/>
  <c r="O41" i="35"/>
  <c r="T41" i="35"/>
  <c r="L39" i="35"/>
  <c r="P39" i="35"/>
  <c r="T39" i="35"/>
  <c r="X39" i="35"/>
  <c r="AB39" i="35"/>
  <c r="B37" i="35"/>
  <c r="J37" i="35"/>
  <c r="N37" i="35"/>
  <c r="R37" i="35"/>
  <c r="V37" i="35"/>
  <c r="Z37" i="35"/>
  <c r="X37" i="35" s="1"/>
  <c r="L35" i="35"/>
  <c r="P35" i="35"/>
  <c r="T35" i="35"/>
  <c r="X35" i="35"/>
  <c r="AB35" i="35"/>
  <c r="L31" i="35"/>
  <c r="P31" i="35"/>
  <c r="T31" i="35"/>
  <c r="AB31" i="35"/>
  <c r="I31" i="35"/>
  <c r="M31" i="35"/>
  <c r="Q31" i="35"/>
  <c r="U31" i="35"/>
  <c r="I48" i="35"/>
  <c r="M48" i="35"/>
  <c r="I44" i="35"/>
  <c r="M44" i="35"/>
  <c r="Q44" i="35"/>
  <c r="U44" i="35"/>
  <c r="I40" i="35"/>
  <c r="M40" i="35"/>
  <c r="Q40" i="35"/>
  <c r="U40" i="35"/>
  <c r="S39" i="35"/>
  <c r="N39" i="35"/>
  <c r="I39" i="35"/>
  <c r="K39" i="35" s="1"/>
  <c r="T37" i="35"/>
  <c r="O37" i="35"/>
  <c r="I37" i="35"/>
  <c r="I36" i="35"/>
  <c r="M36" i="35"/>
  <c r="Q36" i="35"/>
  <c r="U36" i="35"/>
  <c r="S35" i="35"/>
  <c r="N35" i="35"/>
  <c r="I35" i="35"/>
  <c r="R31" i="35"/>
  <c r="J31" i="35"/>
  <c r="Z50" i="35"/>
  <c r="X50" i="35" s="1"/>
  <c r="V50" i="35"/>
  <c r="R50" i="35"/>
  <c r="N50" i="35"/>
  <c r="J50" i="35"/>
  <c r="AB48" i="35"/>
  <c r="T48" i="35"/>
  <c r="P48" i="35"/>
  <c r="B48" i="35"/>
  <c r="Z44" i="35"/>
  <c r="X44" i="35" s="1"/>
  <c r="V44" i="35"/>
  <c r="P44" i="35"/>
  <c r="B44" i="35"/>
  <c r="Z40" i="35"/>
  <c r="X40" i="35" s="1"/>
  <c r="V40" i="35"/>
  <c r="P40" i="35"/>
  <c r="B40" i="35"/>
  <c r="W39" i="35"/>
  <c r="R39" i="35"/>
  <c r="M39" i="35"/>
  <c r="S37" i="35"/>
  <c r="M37" i="35"/>
  <c r="Z36" i="35"/>
  <c r="X36" i="35" s="1"/>
  <c r="V36" i="35"/>
  <c r="P36" i="35"/>
  <c r="B36" i="35"/>
  <c r="W35" i="35"/>
  <c r="R35" i="35"/>
  <c r="M35" i="35"/>
  <c r="I32" i="35"/>
  <c r="M32" i="35"/>
  <c r="Q32" i="35"/>
  <c r="U32" i="35"/>
  <c r="B32" i="35"/>
  <c r="J32" i="35"/>
  <c r="N32" i="35"/>
  <c r="R32" i="35"/>
  <c r="V32" i="35"/>
  <c r="Z32" i="35"/>
  <c r="X32" i="35" s="1"/>
  <c r="W31" i="35"/>
  <c r="O31" i="35"/>
  <c r="K30" i="35"/>
  <c r="Z33" i="35"/>
  <c r="X33" i="35" s="1"/>
  <c r="V33" i="35"/>
  <c r="R33" i="35"/>
  <c r="N33" i="35"/>
  <c r="J33" i="35"/>
  <c r="K33" i="35" s="1"/>
  <c r="O29" i="1"/>
  <c r="J29" i="1"/>
  <c r="G29" i="1"/>
  <c r="D29" i="1"/>
  <c r="K111" i="35" l="1"/>
  <c r="K133" i="35"/>
  <c r="K36" i="35"/>
  <c r="K88" i="35"/>
  <c r="K173" i="35"/>
  <c r="K61" i="35"/>
  <c r="K65" i="35"/>
  <c r="K113" i="35"/>
  <c r="K179" i="35"/>
  <c r="K199" i="35"/>
  <c r="K155" i="35"/>
  <c r="K141" i="35"/>
  <c r="K196" i="35"/>
  <c r="K131" i="35"/>
  <c r="K159" i="35"/>
  <c r="K154" i="35"/>
  <c r="K220" i="35"/>
  <c r="K50" i="35"/>
  <c r="K56" i="35"/>
  <c r="K116" i="35"/>
  <c r="K164" i="35"/>
  <c r="K201" i="35"/>
  <c r="K63" i="35"/>
  <c r="K92" i="35"/>
  <c r="K185" i="35"/>
  <c r="K48" i="35"/>
  <c r="K89" i="35"/>
  <c r="K151" i="35"/>
  <c r="K157" i="35"/>
  <c r="K171" i="35"/>
  <c r="K200" i="35"/>
  <c r="K38" i="35"/>
  <c r="K34" i="35"/>
  <c r="K147" i="35"/>
  <c r="K128" i="35"/>
  <c r="K189" i="35"/>
  <c r="K91" i="35"/>
  <c r="K143" i="35"/>
  <c r="K169" i="35"/>
  <c r="K150" i="35"/>
  <c r="K195" i="35"/>
  <c r="K219" i="35"/>
  <c r="K95" i="35"/>
  <c r="K161" i="35"/>
  <c r="K165" i="35"/>
  <c r="K46" i="35"/>
  <c r="K213" i="35"/>
  <c r="K221" i="35"/>
  <c r="K107" i="35"/>
  <c r="K224" i="35"/>
  <c r="K84" i="35"/>
  <c r="K138" i="35"/>
  <c r="K146" i="35"/>
  <c r="K162" i="35"/>
  <c r="K183" i="35"/>
  <c r="K123" i="35"/>
  <c r="K100" i="35"/>
  <c r="K68" i="35"/>
  <c r="K117" i="35"/>
  <c r="K205" i="35"/>
  <c r="K115" i="35"/>
  <c r="K204" i="35"/>
  <c r="K208" i="35"/>
  <c r="K81" i="35"/>
  <c r="K134" i="35"/>
  <c r="K203" i="35"/>
  <c r="K207" i="35"/>
  <c r="K137" i="35"/>
  <c r="K223" i="35"/>
  <c r="K209" i="35"/>
  <c r="K217" i="35"/>
  <c r="K127" i="35"/>
  <c r="K170" i="35"/>
  <c r="K176" i="35"/>
  <c r="K198" i="35"/>
  <c r="K79" i="35"/>
  <c r="K212" i="35"/>
  <c r="K55" i="35"/>
  <c r="K119" i="35"/>
  <c r="K62" i="35"/>
  <c r="K118" i="35"/>
  <c r="K59" i="35"/>
  <c r="K72" i="35"/>
  <c r="K124" i="35"/>
  <c r="K177" i="35"/>
  <c r="K87" i="35"/>
  <c r="K52" i="35"/>
  <c r="K51" i="35"/>
  <c r="K42" i="35"/>
  <c r="K139" i="35"/>
  <c r="K76" i="35"/>
  <c r="K41" i="35"/>
  <c r="K191" i="35"/>
  <c r="K202" i="35"/>
  <c r="K167" i="35"/>
  <c r="K35" i="35"/>
  <c r="K40" i="35"/>
  <c r="K44" i="35"/>
  <c r="K58" i="35"/>
  <c r="K93" i="35"/>
  <c r="K101" i="35"/>
  <c r="K106" i="35"/>
  <c r="K172" i="35"/>
  <c r="K182" i="35"/>
  <c r="K187" i="35"/>
  <c r="K190" i="35"/>
  <c r="K215" i="35"/>
  <c r="K216" i="35"/>
  <c r="K153" i="35"/>
  <c r="K194" i="35"/>
  <c r="K57" i="35"/>
  <c r="K73" i="35"/>
  <c r="K142" i="35"/>
  <c r="K122" i="35"/>
  <c r="K178" i="35"/>
  <c r="K184" i="35"/>
  <c r="K192" i="35"/>
  <c r="K211" i="35"/>
  <c r="K197" i="35"/>
  <c r="K210" i="35"/>
  <c r="K193" i="35"/>
  <c r="K45" i="35"/>
  <c r="K47" i="35"/>
  <c r="K70" i="35"/>
  <c r="K110" i="35"/>
  <c r="K180" i="35"/>
  <c r="K188" i="35"/>
  <c r="K108" i="35"/>
  <c r="K132" i="35"/>
  <c r="K136" i="35"/>
  <c r="K140" i="35"/>
  <c r="K144" i="35"/>
  <c r="K148" i="35"/>
  <c r="K152" i="35"/>
  <c r="K174" i="35"/>
  <c r="K160" i="35"/>
  <c r="K218" i="35"/>
  <c r="K32" i="35"/>
  <c r="K90" i="35"/>
  <c r="K102" i="35"/>
  <c r="K114" i="35"/>
  <c r="K229" i="35"/>
  <c r="S231" i="35"/>
  <c r="O231" i="35"/>
  <c r="G235" i="35" s="1"/>
  <c r="C231" i="35"/>
  <c r="M231" i="35"/>
  <c r="K86" i="35"/>
  <c r="L241" i="35"/>
  <c r="L244" i="35" s="1"/>
  <c r="K31" i="35"/>
  <c r="K77" i="35"/>
  <c r="I4" i="35"/>
  <c r="K37" i="35"/>
  <c r="U231" i="35"/>
  <c r="K54" i="35"/>
  <c r="K60" i="35"/>
  <c r="K94" i="35"/>
  <c r="K156" i="35"/>
  <c r="K222" i="35"/>
  <c r="D16" i="34"/>
  <c r="Q231" i="35"/>
  <c r="K49" i="35"/>
  <c r="K82" i="35"/>
  <c r="K98" i="35"/>
  <c r="K112" i="35"/>
  <c r="K120" i="35"/>
  <c r="K206" i="35"/>
  <c r="K214" i="35"/>
  <c r="K226" i="35"/>
  <c r="K225" i="35"/>
  <c r="Z194" i="15"/>
  <c r="Z166" i="15" l="1"/>
  <c r="AA166" i="15" s="1"/>
  <c r="X50" i="1" l="1"/>
  <c r="W50" i="1"/>
  <c r="V50" i="1"/>
  <c r="J27" i="1" s="1"/>
  <c r="X44" i="1"/>
  <c r="Y45" i="1"/>
  <c r="Z176" i="30" l="1"/>
  <c r="X176" i="30" s="1"/>
  <c r="K12" i="33" l="1"/>
  <c r="D138" i="33"/>
  <c r="D137" i="33"/>
  <c r="D136" i="33"/>
  <c r="D135" i="33"/>
  <c r="D134" i="33"/>
  <c r="D133" i="33"/>
  <c r="D132" i="33"/>
  <c r="D109" i="33"/>
  <c r="D110" i="33"/>
  <c r="D111" i="33"/>
  <c r="D112" i="33"/>
  <c r="D108" i="33"/>
  <c r="D107" i="33"/>
  <c r="D106" i="33"/>
  <c r="D79" i="33"/>
  <c r="D80" i="33"/>
  <c r="D81" i="33"/>
  <c r="D82" i="33"/>
  <c r="D83" i="33"/>
  <c r="D84" i="33"/>
  <c r="D78" i="33"/>
  <c r="I44" i="33"/>
  <c r="M44" i="33" s="1"/>
  <c r="I45" i="33"/>
  <c r="M45" i="33" s="1"/>
  <c r="I46" i="33"/>
  <c r="M46" i="33" s="1"/>
  <c r="I47" i="33"/>
  <c r="K47" i="33" s="1"/>
  <c r="S47" i="33" s="1"/>
  <c r="T47" i="33" s="1"/>
  <c r="I48" i="33"/>
  <c r="M48" i="33" s="1"/>
  <c r="I49" i="33"/>
  <c r="M49" i="33" s="1"/>
  <c r="I50" i="33"/>
  <c r="M50" i="33" s="1"/>
  <c r="I51" i="33"/>
  <c r="M51" i="33" s="1"/>
  <c r="I52" i="33"/>
  <c r="K52" i="33" s="1"/>
  <c r="S52" i="33" s="1"/>
  <c r="T52" i="33" s="1"/>
  <c r="I53" i="33"/>
  <c r="M53" i="33" s="1"/>
  <c r="I54" i="33"/>
  <c r="M54" i="33" s="1"/>
  <c r="I55" i="33"/>
  <c r="M55" i="33" s="1"/>
  <c r="I56" i="33"/>
  <c r="M56" i="33" s="1"/>
  <c r="I57" i="33"/>
  <c r="M57" i="33" s="1"/>
  <c r="I58" i="33"/>
  <c r="M58" i="33" s="1"/>
  <c r="I43" i="33"/>
  <c r="I31" i="33"/>
  <c r="M31" i="33" s="1"/>
  <c r="C44" i="33"/>
  <c r="C45" i="33"/>
  <c r="C46" i="33"/>
  <c r="C47" i="33"/>
  <c r="C48" i="33"/>
  <c r="C49" i="33"/>
  <c r="C50" i="33"/>
  <c r="C51" i="33"/>
  <c r="C52" i="33"/>
  <c r="C53" i="33"/>
  <c r="C54" i="33"/>
  <c r="C55" i="33"/>
  <c r="C56" i="33"/>
  <c r="C57" i="33"/>
  <c r="C58" i="33"/>
  <c r="C43" i="33"/>
  <c r="C31" i="33"/>
  <c r="K50" i="33"/>
  <c r="S50" i="33" s="1"/>
  <c r="T50" i="33" s="1"/>
  <c r="I21" i="33"/>
  <c r="K21" i="33" s="1"/>
  <c r="S21" i="33" s="1"/>
  <c r="T21" i="33" s="1"/>
  <c r="I22" i="33"/>
  <c r="I23" i="33"/>
  <c r="M23" i="33" s="1"/>
  <c r="I24" i="33"/>
  <c r="M24" i="33" s="1"/>
  <c r="I25" i="33"/>
  <c r="K25" i="33" s="1"/>
  <c r="S25" i="33" s="1"/>
  <c r="T25" i="33" s="1"/>
  <c r="I26" i="33"/>
  <c r="M26" i="33" s="1"/>
  <c r="I27" i="33"/>
  <c r="M27" i="33" s="1"/>
  <c r="I28" i="33"/>
  <c r="M28" i="33" s="1"/>
  <c r="I29" i="33"/>
  <c r="M29" i="33" s="1"/>
  <c r="I30" i="33"/>
  <c r="M30" i="33" s="1"/>
  <c r="I20" i="33"/>
  <c r="C21" i="33"/>
  <c r="C22" i="33"/>
  <c r="C23" i="33"/>
  <c r="C24" i="33"/>
  <c r="C25" i="33"/>
  <c r="C26" i="33"/>
  <c r="C27" i="33"/>
  <c r="C28" i="33"/>
  <c r="C29" i="33"/>
  <c r="C30" i="33"/>
  <c r="C20" i="33"/>
  <c r="R158" i="33"/>
  <c r="R157" i="33"/>
  <c r="R156" i="33"/>
  <c r="R155" i="33"/>
  <c r="R154" i="33"/>
  <c r="R153" i="33"/>
  <c r="R152" i="33"/>
  <c r="R151" i="33"/>
  <c r="R150" i="33"/>
  <c r="R148" i="33"/>
  <c r="F142" i="33"/>
  <c r="R68" i="33"/>
  <c r="K20" i="33" l="1"/>
  <c r="I37" i="33"/>
  <c r="I66" i="33"/>
  <c r="K56" i="33"/>
  <c r="S56" i="33" s="1"/>
  <c r="T56" i="33" s="1"/>
  <c r="K54" i="33"/>
  <c r="S54" i="33" s="1"/>
  <c r="T54" i="33" s="1"/>
  <c r="K28" i="33"/>
  <c r="S28" i="33" s="1"/>
  <c r="T28" i="33" s="1"/>
  <c r="K31" i="33"/>
  <c r="S31" i="33" s="1"/>
  <c r="T31" i="33" s="1"/>
  <c r="K48" i="33"/>
  <c r="S48" i="33" s="1"/>
  <c r="T48" i="33" s="1"/>
  <c r="K24" i="33"/>
  <c r="S24" i="33" s="1"/>
  <c r="T24" i="33" s="1"/>
  <c r="K44" i="33"/>
  <c r="S44" i="33" s="1"/>
  <c r="T44" i="33" s="1"/>
  <c r="K53" i="33"/>
  <c r="S53" i="33" s="1"/>
  <c r="T53" i="33" s="1"/>
  <c r="K26" i="33"/>
  <c r="S26" i="33" s="1"/>
  <c r="T26" i="33" s="1"/>
  <c r="K57" i="33"/>
  <c r="S57" i="33" s="1"/>
  <c r="T57" i="33" s="1"/>
  <c r="K45" i="33"/>
  <c r="S45" i="33" s="1"/>
  <c r="T45" i="33" s="1"/>
  <c r="K49" i="33"/>
  <c r="S49" i="33" s="1"/>
  <c r="T49" i="33" s="1"/>
  <c r="K29" i="33"/>
  <c r="S29" i="33" s="1"/>
  <c r="T29" i="33" s="1"/>
  <c r="K58" i="33"/>
  <c r="S58" i="33" s="1"/>
  <c r="T58" i="33" s="1"/>
  <c r="K30" i="33"/>
  <c r="S30" i="33" s="1"/>
  <c r="T30" i="33" s="1"/>
  <c r="K22" i="33"/>
  <c r="K46" i="33"/>
  <c r="S46" i="33" s="1"/>
  <c r="T46" i="33" s="1"/>
  <c r="M43" i="33"/>
  <c r="K27" i="33"/>
  <c r="S27" i="33" s="1"/>
  <c r="T27" i="33" s="1"/>
  <c r="K23" i="33"/>
  <c r="S23" i="33" s="1"/>
  <c r="T23" i="33" s="1"/>
  <c r="K43" i="33"/>
  <c r="K55" i="33"/>
  <c r="S55" i="33" s="1"/>
  <c r="T55" i="33" s="1"/>
  <c r="K51" i="33"/>
  <c r="S51" i="33" s="1"/>
  <c r="T51" i="33" s="1"/>
  <c r="M52" i="33"/>
  <c r="M47" i="33"/>
  <c r="M25" i="33"/>
  <c r="M21" i="33"/>
  <c r="M20" i="33"/>
  <c r="S20" i="33" l="1"/>
  <c r="T20" i="33" s="1"/>
  <c r="K37" i="33"/>
  <c r="S37" i="33" s="1"/>
  <c r="T37" i="33" s="1"/>
  <c r="S43" i="33"/>
  <c r="T43" i="33" s="1"/>
  <c r="K66" i="33"/>
  <c r="S66" i="33" s="1"/>
  <c r="T66" i="33" s="1"/>
  <c r="R66" i="33" s="1"/>
  <c r="C67" i="33" s="1"/>
  <c r="M22" i="33"/>
  <c r="S22" i="33"/>
  <c r="T22" i="33" s="1"/>
  <c r="M66" i="33"/>
  <c r="M37" i="33"/>
  <c r="R37" i="33" l="1"/>
  <c r="C38" i="33" s="1"/>
  <c r="Z174" i="30"/>
  <c r="X174" i="30" s="1"/>
  <c r="R38" i="33" l="1"/>
  <c r="S39" i="33" s="1"/>
  <c r="R67" i="33"/>
  <c r="S68" i="33"/>
  <c r="Z173" i="30"/>
  <c r="X173" i="30" s="1"/>
  <c r="H12" i="24"/>
  <c r="V27" i="22" l="1"/>
  <c r="V29" i="22"/>
  <c r="V31" i="22"/>
  <c r="R34" i="22"/>
  <c r="R38" i="22"/>
  <c r="R39" i="22"/>
  <c r="R36" i="22"/>
  <c r="R35" i="22"/>
  <c r="R40" i="22"/>
  <c r="T44" i="22"/>
  <c r="AV157" i="15" l="1"/>
  <c r="AV158" i="15"/>
  <c r="AV159" i="15"/>
  <c r="AV160" i="15"/>
  <c r="AV161" i="15"/>
  <c r="AV162" i="15"/>
  <c r="AV163" i="15"/>
  <c r="AV164" i="15"/>
  <c r="AV165" i="15"/>
  <c r="AV166" i="15"/>
  <c r="AV167" i="15"/>
  <c r="AV168" i="15"/>
  <c r="AV169" i="15"/>
  <c r="AV170" i="15"/>
  <c r="AV156" i="15"/>
  <c r="AT156" i="15"/>
  <c r="W34" i="10" l="1"/>
  <c r="BF41" i="2" l="1"/>
  <c r="BG41" i="2" s="1"/>
  <c r="BF42" i="2"/>
  <c r="BG42" i="2" s="1"/>
  <c r="BF43" i="2"/>
  <c r="BG43" i="2" s="1"/>
  <c r="BF44" i="2"/>
  <c r="BG44" i="2" s="1"/>
  <c r="BF45" i="2"/>
  <c r="BG45" i="2" s="1"/>
  <c r="BF46" i="2"/>
  <c r="BG46" i="2" s="1"/>
  <c r="BF47" i="2"/>
  <c r="BG47" i="2" s="1"/>
  <c r="BF48" i="2"/>
  <c r="BG48" i="2" s="1"/>
  <c r="BF49" i="2"/>
  <c r="BG49" i="2" s="1"/>
  <c r="BF40" i="2"/>
  <c r="BG40" i="2" s="1"/>
  <c r="BG50" i="2" l="1"/>
  <c r="AD171" i="30" s="1"/>
  <c r="U67" i="3"/>
  <c r="AA69" i="5"/>
  <c r="R43" i="22" l="1"/>
  <c r="R41" i="22"/>
  <c r="R37" i="22" l="1"/>
  <c r="H15" i="2"/>
  <c r="V25" i="22" l="1"/>
  <c r="V33" i="22" s="1"/>
  <c r="AB28" i="22"/>
  <c r="AB29" i="22"/>
  <c r="AB30" i="22"/>
  <c r="AB31" i="22"/>
  <c r="AB32" i="22"/>
  <c r="AB33" i="22"/>
  <c r="AB34" i="22"/>
  <c r="AB35" i="22"/>
  <c r="AB36" i="22"/>
  <c r="AB37" i="22"/>
  <c r="AB38" i="22"/>
  <c r="AB39" i="22"/>
  <c r="AB40" i="22"/>
  <c r="AB41" i="22"/>
  <c r="AB27" i="22"/>
  <c r="AE13" i="22"/>
  <c r="AE14" i="22" l="1"/>
  <c r="AA28" i="22"/>
  <c r="AA29" i="22"/>
  <c r="AA30" i="22"/>
  <c r="AA31" i="22"/>
  <c r="AA32" i="22"/>
  <c r="AA33" i="22"/>
  <c r="AA34" i="22"/>
  <c r="AA35" i="22"/>
  <c r="AA36" i="22"/>
  <c r="AA37" i="22"/>
  <c r="AA38" i="22"/>
  <c r="AA39" i="22"/>
  <c r="AA40" i="22"/>
  <c r="AA41" i="22"/>
  <c r="AA27" i="22"/>
  <c r="J30" i="10"/>
  <c r="J29" i="10"/>
  <c r="J28" i="10"/>
  <c r="J27" i="10"/>
  <c r="J26" i="10"/>
  <c r="J25" i="10"/>
  <c r="J24" i="10"/>
  <c r="J19" i="10"/>
  <c r="J18" i="10"/>
  <c r="J17" i="10"/>
  <c r="C20" i="10"/>
  <c r="U20" i="10"/>
  <c r="F21" i="10" s="1"/>
  <c r="F27" i="24"/>
  <c r="L35" i="29"/>
  <c r="L42" i="29" s="1"/>
  <c r="M35" i="29"/>
  <c r="M42" i="29" s="1"/>
  <c r="N35" i="29"/>
  <c r="N42" i="29" s="1"/>
  <c r="O35" i="29"/>
  <c r="O42" i="29" s="1"/>
  <c r="P35" i="29"/>
  <c r="P42" i="29" s="1"/>
  <c r="Q35" i="29"/>
  <c r="Q42" i="29" s="1"/>
  <c r="K35" i="29"/>
  <c r="K42" i="29" s="1"/>
  <c r="L20" i="29"/>
  <c r="L21" i="29" s="1"/>
  <c r="N20" i="29"/>
  <c r="N21" i="29" s="1"/>
  <c r="O20" i="29"/>
  <c r="O21" i="29" s="1"/>
  <c r="P20" i="29"/>
  <c r="P21" i="29" s="1"/>
  <c r="Q20" i="29"/>
  <c r="Q21" i="29" s="1"/>
  <c r="K20" i="29"/>
  <c r="K21" i="29" s="1"/>
  <c r="L35" i="5"/>
  <c r="L42" i="5" s="1"/>
  <c r="M35" i="5"/>
  <c r="M42" i="5" s="1"/>
  <c r="N35" i="5"/>
  <c r="N42" i="5" s="1"/>
  <c r="O35" i="5"/>
  <c r="O42" i="5" s="1"/>
  <c r="P35" i="5"/>
  <c r="P42" i="5" s="1"/>
  <c r="Q35" i="5"/>
  <c r="Q42" i="5" s="1"/>
  <c r="K35" i="5"/>
  <c r="K42" i="5" s="1"/>
  <c r="Q20" i="5"/>
  <c r="Q21" i="5" s="1"/>
  <c r="M20" i="5"/>
  <c r="M21" i="5" s="1"/>
  <c r="N20" i="5"/>
  <c r="N21" i="5" s="1"/>
  <c r="O20" i="5"/>
  <c r="O21" i="5" s="1"/>
  <c r="P20" i="5"/>
  <c r="P21" i="5" s="1"/>
  <c r="L20" i="5"/>
  <c r="L21" i="5" s="1"/>
  <c r="J29" i="18"/>
  <c r="H29" i="18"/>
  <c r="T27" i="22"/>
  <c r="T28" i="22"/>
  <c r="T29" i="22"/>
  <c r="T26" i="22"/>
  <c r="T14" i="22"/>
  <c r="F31" i="2"/>
  <c r="F50" i="2"/>
  <c r="AE15" i="22" l="1"/>
  <c r="AE16" i="22" s="1"/>
  <c r="W41" i="22" s="1"/>
  <c r="O27" i="24"/>
  <c r="L27" i="24"/>
  <c r="W34" i="22" l="1"/>
  <c r="W36" i="22"/>
  <c r="W38" i="22"/>
  <c r="AA47" i="22"/>
  <c r="AA46" i="22"/>
  <c r="AA49" i="22"/>
  <c r="B42" i="22" s="1"/>
  <c r="S39" i="22" s="1"/>
  <c r="AA48" i="22"/>
  <c r="C38" i="22" l="1"/>
  <c r="S36" i="22" s="1"/>
  <c r="A36" i="22"/>
  <c r="S34" i="22" s="1"/>
  <c r="B40" i="22"/>
  <c r="S38" i="22" s="1"/>
  <c r="AA26" i="22"/>
  <c r="S40" i="22" l="1"/>
  <c r="Z171" i="30" s="1"/>
  <c r="X171" i="30" s="1"/>
  <c r="AT169" i="15" l="1"/>
  <c r="AT170" i="15"/>
  <c r="AT167" i="15"/>
  <c r="AT168" i="15"/>
  <c r="AT157" i="15"/>
  <c r="AT158" i="15"/>
  <c r="AT159" i="15"/>
  <c r="AT160" i="15"/>
  <c r="AT161" i="15"/>
  <c r="AT162" i="15"/>
  <c r="AT163" i="15"/>
  <c r="AT164" i="15"/>
  <c r="AT165" i="15"/>
  <c r="AT166" i="15"/>
  <c r="AA90" i="15" l="1"/>
  <c r="Z90" i="15"/>
  <c r="AB92" i="15"/>
  <c r="G90" i="15"/>
  <c r="G98" i="15"/>
  <c r="J94" i="15"/>
  <c r="Z102" i="15"/>
  <c r="Z96" i="15"/>
  <c r="H89" i="15" s="1"/>
  <c r="AV13" i="2"/>
  <c r="AW13" i="2"/>
  <c r="AV14" i="2"/>
  <c r="AW14" i="2"/>
  <c r="AV15" i="2"/>
  <c r="AW15" i="2"/>
  <c r="AV16" i="2"/>
  <c r="AW16" i="2"/>
  <c r="AV17" i="2"/>
  <c r="AW17" i="2"/>
  <c r="AV18" i="2"/>
  <c r="AW18" i="2"/>
  <c r="AV19" i="2"/>
  <c r="AW19" i="2"/>
  <c r="AV20" i="2"/>
  <c r="AW20" i="2"/>
  <c r="AV21" i="2"/>
  <c r="AW21" i="2"/>
  <c r="AV22" i="2"/>
  <c r="AW22" i="2"/>
  <c r="AV23" i="2"/>
  <c r="AW23" i="2"/>
  <c r="AV24" i="2"/>
  <c r="AW24" i="2"/>
  <c r="AV25" i="2"/>
  <c r="AW25" i="2"/>
  <c r="AV26" i="2"/>
  <c r="AW26" i="2"/>
  <c r="AW12" i="2"/>
  <c r="AV12" i="2"/>
  <c r="AS30" i="2"/>
  <c r="AS29" i="2"/>
  <c r="AS28" i="2"/>
  <c r="AS27" i="2"/>
  <c r="AS26" i="2"/>
  <c r="AS25" i="2"/>
  <c r="AS24" i="2"/>
  <c r="AS23" i="2"/>
  <c r="AS22" i="2"/>
  <c r="AS21" i="2"/>
  <c r="AS20" i="2"/>
  <c r="AS19" i="2"/>
  <c r="AR30" i="2"/>
  <c r="AR29" i="2"/>
  <c r="AR28" i="2"/>
  <c r="AR27" i="2"/>
  <c r="AR26" i="2"/>
  <c r="AR25" i="2"/>
  <c r="AR24" i="2"/>
  <c r="AR23" i="2"/>
  <c r="AR22" i="2"/>
  <c r="AR21" i="2"/>
  <c r="AR20" i="2"/>
  <c r="AR19" i="2"/>
  <c r="AT23" i="2" l="1"/>
  <c r="AX12" i="2"/>
  <c r="AX14" i="2"/>
  <c r="AX13" i="2"/>
  <c r="AX23" i="2"/>
  <c r="AX18" i="2"/>
  <c r="AX22" i="2"/>
  <c r="AX16" i="2"/>
  <c r="AX26" i="2"/>
  <c r="AX20" i="2"/>
  <c r="AX15" i="2"/>
  <c r="AX24" i="2"/>
  <c r="AX19" i="2"/>
  <c r="AX25" i="2"/>
  <c r="AX21" i="2"/>
  <c r="AX17" i="2"/>
  <c r="AT20" i="2"/>
  <c r="AT30" i="2"/>
  <c r="AT26" i="2"/>
  <c r="AT22" i="2"/>
  <c r="AT29" i="2"/>
  <c r="AT25" i="2"/>
  <c r="AT21" i="2"/>
  <c r="AT28" i="2"/>
  <c r="AT24" i="2"/>
  <c r="AT19" i="2"/>
  <c r="AT27" i="2"/>
  <c r="AM30" i="29" l="1"/>
  <c r="AM31" i="29"/>
  <c r="AM32" i="29"/>
  <c r="AM33" i="29"/>
  <c r="AM34" i="29"/>
  <c r="AM35" i="29"/>
  <c r="AM36" i="29"/>
  <c r="AM37" i="29"/>
  <c r="AM38" i="29"/>
  <c r="AM39" i="29"/>
  <c r="AM40" i="29"/>
  <c r="AM41" i="29"/>
  <c r="AM42" i="29"/>
  <c r="AM43" i="29"/>
  <c r="AM29" i="29"/>
  <c r="AN29" i="5"/>
  <c r="AF30" i="5"/>
  <c r="AF31" i="5"/>
  <c r="AF32" i="5"/>
  <c r="AF33" i="5"/>
  <c r="AF34" i="5"/>
  <c r="AF35" i="5"/>
  <c r="AF36" i="5"/>
  <c r="AF37" i="5"/>
  <c r="AF38" i="5"/>
  <c r="AF39" i="5"/>
  <c r="AF40" i="5"/>
  <c r="AF41" i="5"/>
  <c r="AF42" i="5"/>
  <c r="AF43" i="5"/>
  <c r="AF29" i="5"/>
  <c r="AN30" i="5"/>
  <c r="AN31" i="5"/>
  <c r="AN32" i="5"/>
  <c r="AN33" i="5"/>
  <c r="AN34" i="5"/>
  <c r="AN35" i="5"/>
  <c r="AN36" i="5"/>
  <c r="AN37" i="5"/>
  <c r="AN38" i="5"/>
  <c r="AN39" i="5"/>
  <c r="AN40" i="5"/>
  <c r="AN41" i="5"/>
  <c r="AN42" i="5"/>
  <c r="AN43" i="5"/>
  <c r="AO38" i="5" l="1"/>
  <c r="AO34" i="5"/>
  <c r="AO30" i="5"/>
  <c r="AO36" i="5"/>
  <c r="AO39" i="5"/>
  <c r="AO35" i="5"/>
  <c r="AO42" i="5"/>
  <c r="AO41" i="5"/>
  <c r="AO37" i="5"/>
  <c r="AO33" i="5"/>
  <c r="AO40" i="5"/>
  <c r="AO43" i="5"/>
  <c r="AO29" i="5"/>
  <c r="AO32" i="5"/>
  <c r="AO31" i="5"/>
  <c r="A3" i="23"/>
  <c r="A4" i="23"/>
  <c r="A5" i="23"/>
  <c r="A6" i="23"/>
  <c r="A7" i="23"/>
  <c r="A8" i="23"/>
  <c r="A9" i="23"/>
  <c r="A10" i="23"/>
  <c r="K98" i="15" s="1"/>
  <c r="Z92" i="15" s="1"/>
  <c r="A11" i="23"/>
  <c r="A12" i="23"/>
  <c r="A13" i="23"/>
  <c r="A14" i="23"/>
  <c r="A15" i="23"/>
  <c r="A16" i="23"/>
  <c r="A17" i="23"/>
  <c r="A18" i="23"/>
  <c r="A19" i="23"/>
  <c r="A20" i="23"/>
  <c r="A21" i="23"/>
  <c r="A22" i="23"/>
  <c r="A23" i="23"/>
  <c r="A24" i="23"/>
  <c r="A25" i="23"/>
  <c r="A26" i="23"/>
  <c r="A27" i="23"/>
  <c r="A28" i="23"/>
  <c r="A29" i="23"/>
  <c r="A30" i="23"/>
  <c r="A31" i="23"/>
  <c r="A32" i="23"/>
  <c r="A33" i="23"/>
  <c r="A34" i="23"/>
  <c r="A35" i="23"/>
  <c r="A36" i="23"/>
  <c r="A37" i="23"/>
  <c r="A38" i="23"/>
  <c r="A39" i="23"/>
  <c r="A40" i="23"/>
  <c r="A41" i="23"/>
  <c r="A42" i="23"/>
  <c r="A43" i="23"/>
  <c r="A44" i="23"/>
  <c r="A45" i="23"/>
  <c r="A46" i="23"/>
  <c r="A47" i="23"/>
  <c r="A48" i="23"/>
  <c r="A49" i="23"/>
  <c r="A50" i="23"/>
  <c r="A51" i="23"/>
  <c r="A52" i="23"/>
  <c r="A53" i="23"/>
  <c r="A54" i="23"/>
  <c r="A55" i="23"/>
  <c r="A56" i="23"/>
  <c r="A57" i="23"/>
  <c r="A58" i="23"/>
  <c r="A59" i="23"/>
  <c r="A60" i="23"/>
  <c r="A61" i="23"/>
  <c r="A62" i="23"/>
  <c r="A63" i="23"/>
  <c r="A64" i="23"/>
  <c r="A65" i="23"/>
  <c r="A66" i="23"/>
  <c r="A67" i="23"/>
  <c r="A68" i="23"/>
  <c r="A69" i="23"/>
  <c r="A70" i="23"/>
  <c r="A71" i="23"/>
  <c r="A2" i="23"/>
  <c r="L100" i="15" s="1"/>
  <c r="AA92" i="15" l="1"/>
  <c r="T30" i="18" l="1"/>
  <c r="T31" i="18"/>
  <c r="T32" i="18"/>
  <c r="T33" i="18"/>
  <c r="T34" i="18"/>
  <c r="T35" i="18"/>
  <c r="T36" i="18"/>
  <c r="T37" i="18"/>
  <c r="T38" i="18"/>
  <c r="T39" i="18"/>
  <c r="T40" i="18"/>
  <c r="T41" i="18"/>
  <c r="T42" i="18"/>
  <c r="T43" i="18"/>
  <c r="T44" i="18"/>
  <c r="T45" i="18"/>
  <c r="T46" i="18"/>
  <c r="T47" i="18"/>
  <c r="T48" i="18"/>
  <c r="T49" i="18"/>
  <c r="T50" i="18"/>
  <c r="T52" i="18"/>
  <c r="T54" i="18"/>
  <c r="I77" i="3" l="1"/>
  <c r="K77" i="3"/>
  <c r="G77" i="3"/>
  <c r="M58" i="3"/>
  <c r="I120" i="33" s="1"/>
  <c r="K120" i="33" s="1"/>
  <c r="M59" i="3"/>
  <c r="I121" i="33" s="1"/>
  <c r="M60" i="3"/>
  <c r="I122" i="33" s="1"/>
  <c r="M61" i="3"/>
  <c r="I123" i="33" s="1"/>
  <c r="M62" i="3"/>
  <c r="I124" i="33" s="1"/>
  <c r="M63" i="3"/>
  <c r="I125" i="33" s="1"/>
  <c r="M64" i="3"/>
  <c r="I126" i="33" s="1"/>
  <c r="M65" i="3"/>
  <c r="I127" i="33" s="1"/>
  <c r="M66" i="3"/>
  <c r="M67" i="3"/>
  <c r="M68" i="3"/>
  <c r="M69" i="3"/>
  <c r="I131" i="33" s="1"/>
  <c r="M70" i="3"/>
  <c r="I132" i="33" s="1"/>
  <c r="M71" i="3"/>
  <c r="I133" i="33" s="1"/>
  <c r="M72" i="3"/>
  <c r="I134" i="33" s="1"/>
  <c r="M73" i="3"/>
  <c r="I135" i="33" s="1"/>
  <c r="M74" i="3"/>
  <c r="I136" i="33" s="1"/>
  <c r="M75" i="3"/>
  <c r="I137" i="33" s="1"/>
  <c r="M76" i="3"/>
  <c r="I138" i="33" s="1"/>
  <c r="M57" i="3"/>
  <c r="I119" i="33" s="1"/>
  <c r="I54" i="3"/>
  <c r="K54" i="3"/>
  <c r="G54" i="3"/>
  <c r="M43" i="3"/>
  <c r="I102" i="33" s="1"/>
  <c r="M44" i="3"/>
  <c r="I103" i="33" s="1"/>
  <c r="M45" i="3"/>
  <c r="I104" i="33" s="1"/>
  <c r="M46" i="3"/>
  <c r="I105" i="33" s="1"/>
  <c r="M47" i="3"/>
  <c r="I106" i="33" s="1"/>
  <c r="M48" i="3"/>
  <c r="I107" i="33" s="1"/>
  <c r="M49" i="3"/>
  <c r="I108" i="33" s="1"/>
  <c r="M50" i="3"/>
  <c r="I109" i="33" s="1"/>
  <c r="M51" i="3"/>
  <c r="I110" i="33" s="1"/>
  <c r="M52" i="3"/>
  <c r="I111" i="33" s="1"/>
  <c r="M53" i="3"/>
  <c r="I112" i="33" s="1"/>
  <c r="M42" i="3"/>
  <c r="I101" i="33" s="1"/>
  <c r="I39" i="3"/>
  <c r="K39" i="3"/>
  <c r="G39" i="3"/>
  <c r="M33" i="3"/>
  <c r="I92" i="33" s="1"/>
  <c r="M34" i="3"/>
  <c r="I93" i="33" s="1"/>
  <c r="K93" i="33" s="1"/>
  <c r="M35" i="3"/>
  <c r="I94" i="33" s="1"/>
  <c r="M36" i="3"/>
  <c r="I95" i="33" s="1"/>
  <c r="M37" i="3"/>
  <c r="I96" i="33" s="1"/>
  <c r="M38" i="3"/>
  <c r="I97" i="33" s="1"/>
  <c r="M32" i="3"/>
  <c r="I91" i="33" s="1"/>
  <c r="M28" i="3"/>
  <c r="I84" i="33" s="1"/>
  <c r="M20" i="3"/>
  <c r="I76" i="33" s="1"/>
  <c r="M21" i="3"/>
  <c r="I77" i="33" s="1"/>
  <c r="M22" i="3"/>
  <c r="I78" i="33" s="1"/>
  <c r="M23" i="3"/>
  <c r="I79" i="33" s="1"/>
  <c r="M24" i="3"/>
  <c r="I80" i="33" s="1"/>
  <c r="M25" i="3"/>
  <c r="I81" i="33" s="1"/>
  <c r="M26" i="3"/>
  <c r="I82" i="33" s="1"/>
  <c r="M27" i="3"/>
  <c r="I83" i="33" s="1"/>
  <c r="M19" i="3"/>
  <c r="I75" i="33" s="1"/>
  <c r="K29" i="3"/>
  <c r="I29" i="3"/>
  <c r="G29" i="3"/>
  <c r="M84" i="33" l="1"/>
  <c r="K84" i="33"/>
  <c r="I116" i="33"/>
  <c r="I88" i="33"/>
  <c r="M88" i="33" s="1"/>
  <c r="M120" i="33"/>
  <c r="S120" i="33"/>
  <c r="T120" i="33" s="1"/>
  <c r="I98" i="33"/>
  <c r="M82" i="33"/>
  <c r="K82" i="33"/>
  <c r="S82" i="33" s="1"/>
  <c r="T82" i="33" s="1"/>
  <c r="M81" i="33"/>
  <c r="K81" i="33"/>
  <c r="S81" i="33" s="1"/>
  <c r="T81" i="33" s="1"/>
  <c r="K75" i="33"/>
  <c r="M80" i="33"/>
  <c r="K80" i="33"/>
  <c r="S80" i="33" s="1"/>
  <c r="T80" i="33" s="1"/>
  <c r="M76" i="33"/>
  <c r="K76" i="33"/>
  <c r="S76" i="33" s="1"/>
  <c r="T76" i="33" s="1"/>
  <c r="M78" i="33"/>
  <c r="K78" i="33"/>
  <c r="S78" i="33" s="1"/>
  <c r="T78" i="33" s="1"/>
  <c r="M77" i="33"/>
  <c r="K77" i="33"/>
  <c r="S77" i="33" s="1"/>
  <c r="T77" i="33" s="1"/>
  <c r="M83" i="33"/>
  <c r="K83" i="33"/>
  <c r="S83" i="33" s="1"/>
  <c r="T83" i="33" s="1"/>
  <c r="M79" i="33"/>
  <c r="K79" i="33"/>
  <c r="S79" i="33" s="1"/>
  <c r="T79" i="33" s="1"/>
  <c r="S84" i="33"/>
  <c r="T84" i="33" s="1"/>
  <c r="M111" i="33"/>
  <c r="K111" i="33"/>
  <c r="S111" i="33" s="1"/>
  <c r="T111" i="33" s="1"/>
  <c r="K110" i="33"/>
  <c r="S110" i="33" s="1"/>
  <c r="T110" i="33" s="1"/>
  <c r="M110" i="33"/>
  <c r="K112" i="33"/>
  <c r="S112" i="33" s="1"/>
  <c r="T112" i="33" s="1"/>
  <c r="M112" i="33"/>
  <c r="K109" i="33"/>
  <c r="S109" i="33" s="1"/>
  <c r="T109" i="33" s="1"/>
  <c r="M109" i="33"/>
  <c r="K108" i="33"/>
  <c r="S108" i="33" s="1"/>
  <c r="T108" i="33" s="1"/>
  <c r="M108" i="33"/>
  <c r="K96" i="33"/>
  <c r="S96" i="33" s="1"/>
  <c r="T96" i="33" s="1"/>
  <c r="M96" i="33"/>
  <c r="K92" i="33"/>
  <c r="S92" i="33" s="1"/>
  <c r="T92" i="33" s="1"/>
  <c r="M92" i="33"/>
  <c r="K95" i="33"/>
  <c r="S95" i="33" s="1"/>
  <c r="T95" i="33" s="1"/>
  <c r="M95" i="33"/>
  <c r="K94" i="33"/>
  <c r="S94" i="33" s="1"/>
  <c r="T94" i="33" s="1"/>
  <c r="M107" i="33"/>
  <c r="K107" i="33"/>
  <c r="S107" i="33" s="1"/>
  <c r="T107" i="33" s="1"/>
  <c r="K106" i="33"/>
  <c r="S106" i="33" s="1"/>
  <c r="T106" i="33" s="1"/>
  <c r="M106" i="33"/>
  <c r="M105" i="33"/>
  <c r="K105" i="33"/>
  <c r="S105" i="33" s="1"/>
  <c r="T105" i="33" s="1"/>
  <c r="K104" i="33"/>
  <c r="S104" i="33" s="1"/>
  <c r="T104" i="33" s="1"/>
  <c r="M103" i="33"/>
  <c r="K103" i="33"/>
  <c r="S103" i="33" s="1"/>
  <c r="T103" i="33" s="1"/>
  <c r="K102" i="33"/>
  <c r="S102" i="33" s="1"/>
  <c r="T102" i="33" s="1"/>
  <c r="M102" i="33"/>
  <c r="M101" i="33"/>
  <c r="K101" i="33"/>
  <c r="M97" i="33"/>
  <c r="K97" i="33"/>
  <c r="S97" i="33" s="1"/>
  <c r="T97" i="33" s="1"/>
  <c r="M93" i="33"/>
  <c r="S93" i="33"/>
  <c r="T93" i="33" s="1"/>
  <c r="K91" i="33"/>
  <c r="S91" i="33" s="1"/>
  <c r="T91" i="33" s="1"/>
  <c r="M91" i="33"/>
  <c r="M75" i="33"/>
  <c r="M138" i="33"/>
  <c r="K138" i="33"/>
  <c r="S138" i="33" s="1"/>
  <c r="T138" i="33" s="1"/>
  <c r="K132" i="33"/>
  <c r="S132" i="33" s="1"/>
  <c r="T132" i="33" s="1"/>
  <c r="M132" i="33"/>
  <c r="M135" i="33"/>
  <c r="K135" i="33"/>
  <c r="S135" i="33" s="1"/>
  <c r="T135" i="33" s="1"/>
  <c r="M131" i="33"/>
  <c r="K131" i="33"/>
  <c r="S131" i="33" s="1"/>
  <c r="T131" i="33" s="1"/>
  <c r="M127" i="33"/>
  <c r="K127" i="33"/>
  <c r="S127" i="33" s="1"/>
  <c r="T127" i="33" s="1"/>
  <c r="M123" i="33"/>
  <c r="K123" i="33"/>
  <c r="S123" i="33" s="1"/>
  <c r="T123" i="33" s="1"/>
  <c r="K134" i="33"/>
  <c r="M134" i="33"/>
  <c r="M126" i="33"/>
  <c r="K126" i="33"/>
  <c r="S126" i="33" s="1"/>
  <c r="T126" i="33" s="1"/>
  <c r="K136" i="33"/>
  <c r="S136" i="33" s="1"/>
  <c r="T136" i="33" s="1"/>
  <c r="M136" i="33"/>
  <c r="K124" i="33"/>
  <c r="S124" i="33" s="1"/>
  <c r="T124" i="33" s="1"/>
  <c r="M124" i="33"/>
  <c r="M137" i="33"/>
  <c r="K137" i="33"/>
  <c r="S137" i="33" s="1"/>
  <c r="T137" i="33" s="1"/>
  <c r="M133" i="33"/>
  <c r="K133" i="33"/>
  <c r="S133" i="33" s="1"/>
  <c r="T133" i="33" s="1"/>
  <c r="K125" i="33"/>
  <c r="S125" i="33" s="1"/>
  <c r="T125" i="33" s="1"/>
  <c r="M125" i="33"/>
  <c r="M121" i="33"/>
  <c r="K121" i="33"/>
  <c r="S121" i="33" s="1"/>
  <c r="T121" i="33" s="1"/>
  <c r="K122" i="33"/>
  <c r="S122" i="33" s="1"/>
  <c r="T122" i="33" s="1"/>
  <c r="M122" i="33"/>
  <c r="L70" i="15"/>
  <c r="P70" i="15" s="1"/>
  <c r="I130" i="33"/>
  <c r="L67" i="15"/>
  <c r="AB67" i="15" s="1"/>
  <c r="I129" i="33"/>
  <c r="L64" i="15"/>
  <c r="AB64" i="15" s="1"/>
  <c r="I128" i="33"/>
  <c r="K119" i="33"/>
  <c r="S119" i="33" s="1"/>
  <c r="T119" i="33" s="1"/>
  <c r="G79" i="3"/>
  <c r="K79" i="3"/>
  <c r="K81" i="3"/>
  <c r="M39" i="3"/>
  <c r="I81" i="3"/>
  <c r="AE171" i="30" s="1"/>
  <c r="AG171" i="30" s="1"/>
  <c r="Z172" i="30" s="1"/>
  <c r="X172" i="30" s="1"/>
  <c r="I79" i="3"/>
  <c r="G81" i="3"/>
  <c r="AB29" i="5"/>
  <c r="AC29" i="5"/>
  <c r="AD29" i="5"/>
  <c r="AB30" i="5"/>
  <c r="AC30" i="5"/>
  <c r="AD30" i="5"/>
  <c r="AB31" i="5"/>
  <c r="AC31" i="5"/>
  <c r="AD31" i="5"/>
  <c r="AB32" i="5"/>
  <c r="AC32" i="5"/>
  <c r="AD32" i="5"/>
  <c r="AB33" i="5"/>
  <c r="AC33" i="5"/>
  <c r="AD33" i="5"/>
  <c r="AB34" i="5"/>
  <c r="AC34" i="5"/>
  <c r="AD34" i="5"/>
  <c r="AB35" i="5"/>
  <c r="AC35" i="5"/>
  <c r="AD35" i="5"/>
  <c r="AB36" i="5"/>
  <c r="AC36" i="5"/>
  <c r="AD36" i="5"/>
  <c r="AB37" i="5"/>
  <c r="AC37" i="5"/>
  <c r="AD37" i="5"/>
  <c r="AB38" i="5"/>
  <c r="AC38" i="5"/>
  <c r="AD38" i="5"/>
  <c r="AB39" i="5"/>
  <c r="AC39" i="5"/>
  <c r="AD39" i="5"/>
  <c r="AB40" i="5"/>
  <c r="AC40" i="5"/>
  <c r="AD40" i="5"/>
  <c r="AB41" i="5"/>
  <c r="AC41" i="5"/>
  <c r="AD41" i="5"/>
  <c r="AB42" i="5"/>
  <c r="AC42" i="5"/>
  <c r="AD42" i="5"/>
  <c r="AB43" i="5"/>
  <c r="AC43" i="5"/>
  <c r="AD43" i="5"/>
  <c r="I146" i="33" l="1"/>
  <c r="P67" i="15"/>
  <c r="I142" i="33"/>
  <c r="I144" i="33" s="1"/>
  <c r="AB70" i="15"/>
  <c r="S134" i="33"/>
  <c r="T134" i="33" s="1"/>
  <c r="S101" i="33"/>
  <c r="T101" i="33" s="1"/>
  <c r="K116" i="33"/>
  <c r="S75" i="33"/>
  <c r="T75" i="33" s="1"/>
  <c r="K88" i="33"/>
  <c r="M94" i="33"/>
  <c r="M104" i="33"/>
  <c r="M116" i="33"/>
  <c r="M119" i="33"/>
  <c r="K98" i="33"/>
  <c r="AZ39" i="5"/>
  <c r="AS39" i="5"/>
  <c r="AS36" i="5"/>
  <c r="AZ36" i="5"/>
  <c r="AW31" i="5"/>
  <c r="AS41" i="5"/>
  <c r="AZ41" i="5"/>
  <c r="AS37" i="5"/>
  <c r="AZ37" i="5"/>
  <c r="AS42" i="5"/>
  <c r="AZ42" i="5"/>
  <c r="AS38" i="5"/>
  <c r="AZ38" i="5"/>
  <c r="AI43" i="5"/>
  <c r="AS43" i="5"/>
  <c r="AZ43" i="5"/>
  <c r="AI40" i="5"/>
  <c r="AS40" i="5"/>
  <c r="AZ40" i="5"/>
  <c r="AZ33" i="5"/>
  <c r="AS33" i="5"/>
  <c r="AS29" i="5"/>
  <c r="AZ29" i="5"/>
  <c r="AZ34" i="5"/>
  <c r="AS34" i="5"/>
  <c r="AS30" i="5"/>
  <c r="AZ30" i="5"/>
  <c r="AS35" i="5"/>
  <c r="AZ35" i="5"/>
  <c r="AI31" i="5"/>
  <c r="AS31" i="5"/>
  <c r="P64" i="15"/>
  <c r="Z64" i="15"/>
  <c r="P63" i="15" s="1"/>
  <c r="M130" i="33"/>
  <c r="K130" i="33"/>
  <c r="S130" i="33" s="1"/>
  <c r="T130" i="33" s="1"/>
  <c r="M129" i="33"/>
  <c r="K129" i="33"/>
  <c r="S129" i="33" s="1"/>
  <c r="T129" i="33" s="1"/>
  <c r="K128" i="33"/>
  <c r="S128" i="33" s="1"/>
  <c r="T128" i="33" s="1"/>
  <c r="M128" i="33"/>
  <c r="AU31" i="5"/>
  <c r="AY29" i="5"/>
  <c r="AG43" i="5"/>
  <c r="AP43" i="5"/>
  <c r="AW43" i="5"/>
  <c r="BB39" i="5"/>
  <c r="AY39" i="5"/>
  <c r="AR39" i="5"/>
  <c r="BB38" i="5"/>
  <c r="AY38" i="5"/>
  <c r="AR38" i="5"/>
  <c r="BB37" i="5"/>
  <c r="AR37" i="5"/>
  <c r="AY37" i="5"/>
  <c r="BB36" i="5"/>
  <c r="AY36" i="5"/>
  <c r="AR36" i="5"/>
  <c r="BB35" i="5"/>
  <c r="AY35" i="5"/>
  <c r="AR35" i="5"/>
  <c r="BB34" i="5"/>
  <c r="AR34" i="5"/>
  <c r="AY34" i="5"/>
  <c r="AG33" i="5"/>
  <c r="AW33" i="5"/>
  <c r="AP33" i="5"/>
  <c r="AG31" i="5"/>
  <c r="AP31" i="5"/>
  <c r="BB41" i="5"/>
  <c r="AY41" i="5"/>
  <c r="AR41" i="5"/>
  <c r="BB40" i="5"/>
  <c r="AR40" i="5"/>
  <c r="AY40" i="5"/>
  <c r="AG39" i="5"/>
  <c r="AP39" i="5"/>
  <c r="AW39" i="5"/>
  <c r="AG38" i="5"/>
  <c r="AP38" i="5"/>
  <c r="AW38" i="5"/>
  <c r="AG37" i="5"/>
  <c r="AW37" i="5"/>
  <c r="AP37" i="5"/>
  <c r="AG36" i="5"/>
  <c r="AP36" i="5"/>
  <c r="AW36" i="5"/>
  <c r="AP35" i="5"/>
  <c r="AW35" i="5"/>
  <c r="AG34" i="5"/>
  <c r="AP34" i="5"/>
  <c r="AW34" i="5"/>
  <c r="BB42" i="5"/>
  <c r="AY42" i="5"/>
  <c r="AR42" i="5"/>
  <c r="AG41" i="5"/>
  <c r="AW41" i="5"/>
  <c r="AP41" i="5"/>
  <c r="AG40" i="5"/>
  <c r="AP40" i="5"/>
  <c r="AW40" i="5"/>
  <c r="BB32" i="5"/>
  <c r="AY32" i="5"/>
  <c r="AR32" i="5"/>
  <c r="AS32" i="5" s="1"/>
  <c r="BB43" i="5"/>
  <c r="AY43" i="5"/>
  <c r="AR43" i="5"/>
  <c r="AG42" i="5"/>
  <c r="AP42" i="5"/>
  <c r="AW42" i="5"/>
  <c r="AU38" i="5"/>
  <c r="AJ37" i="5"/>
  <c r="AI36" i="5"/>
  <c r="AU34" i="5"/>
  <c r="BB33" i="5"/>
  <c r="AY33" i="5"/>
  <c r="AR33" i="5"/>
  <c r="AG32" i="5"/>
  <c r="AP32" i="5"/>
  <c r="AW32" i="5"/>
  <c r="AR31" i="5"/>
  <c r="AY31" i="5"/>
  <c r="AR29" i="5"/>
  <c r="AP29" i="5"/>
  <c r="AW29" i="5"/>
  <c r="AP30" i="5"/>
  <c r="AR30" i="5"/>
  <c r="BB30" i="5"/>
  <c r="AY30" i="5"/>
  <c r="AW30" i="5"/>
  <c r="BB29" i="5"/>
  <c r="AJ38" i="5"/>
  <c r="AI34" i="5"/>
  <c r="AI38" i="5"/>
  <c r="AI32" i="5"/>
  <c r="AU29" i="5"/>
  <c r="AI29" i="5"/>
  <c r="AJ43" i="5"/>
  <c r="AU41" i="5"/>
  <c r="AJ31" i="5"/>
  <c r="AU30" i="5"/>
  <c r="AU39" i="5"/>
  <c r="BB31" i="5"/>
  <c r="AU42" i="5"/>
  <c r="AU37" i="5"/>
  <c r="AU43" i="5"/>
  <c r="AI42" i="5"/>
  <c r="AJ42" i="5"/>
  <c r="AI41" i="5"/>
  <c r="AJ41" i="5"/>
  <c r="AI39" i="5"/>
  <c r="AJ39" i="5"/>
  <c r="AJ33" i="5"/>
  <c r="AU33" i="5"/>
  <c r="AI30" i="5"/>
  <c r="AJ36" i="5"/>
  <c r="AU36" i="5"/>
  <c r="AI35" i="5"/>
  <c r="AJ35" i="5" s="1"/>
  <c r="AU35" i="5"/>
  <c r="AJ34" i="5"/>
  <c r="AI33" i="5"/>
  <c r="AJ40" i="5"/>
  <c r="AU40" i="5"/>
  <c r="AI37" i="5"/>
  <c r="AJ32" i="5"/>
  <c r="AU32" i="5"/>
  <c r="R27" i="24"/>
  <c r="K142" i="33" l="1"/>
  <c r="K146" i="33"/>
  <c r="K144" i="33"/>
  <c r="M144" i="33" s="1"/>
  <c r="AZ31" i="5"/>
  <c r="AZ32" i="5"/>
  <c r="AJ30" i="5"/>
  <c r="AT29" i="5"/>
  <c r="AJ29" i="5"/>
  <c r="M77" i="3"/>
  <c r="M54" i="3"/>
  <c r="M29" i="3"/>
  <c r="M146" i="33" l="1"/>
  <c r="S146" i="33"/>
  <c r="T146" i="33" s="1"/>
  <c r="M142" i="33"/>
  <c r="BA29" i="5"/>
  <c r="AX39" i="5" s="1"/>
  <c r="Y39" i="5" s="1"/>
  <c r="AQ29" i="5"/>
  <c r="Z29" i="5" s="1"/>
  <c r="AQ33" i="5"/>
  <c r="Z33" i="5" s="1"/>
  <c r="AQ37" i="5"/>
  <c r="Z37" i="5" s="1"/>
  <c r="AQ41" i="5"/>
  <c r="Z41" i="5" s="1"/>
  <c r="AQ31" i="5"/>
  <c r="Z31" i="5" s="1"/>
  <c r="AQ43" i="5"/>
  <c r="Z43" i="5" s="1"/>
  <c r="AQ40" i="5"/>
  <c r="Z40" i="5" s="1"/>
  <c r="AQ30" i="5"/>
  <c r="Z30" i="5" s="1"/>
  <c r="AQ34" i="5"/>
  <c r="Z34" i="5" s="1"/>
  <c r="AQ38" i="5"/>
  <c r="Z38" i="5" s="1"/>
  <c r="AQ42" i="5"/>
  <c r="Z42" i="5" s="1"/>
  <c r="AQ35" i="5"/>
  <c r="Z35" i="5" s="1"/>
  <c r="AQ39" i="5"/>
  <c r="Z39" i="5" s="1"/>
  <c r="AQ36" i="5"/>
  <c r="Z36" i="5" s="1"/>
  <c r="AQ32" i="5"/>
  <c r="Z32" i="5" s="1"/>
  <c r="AK29" i="5"/>
  <c r="AH42" i="5" s="1"/>
  <c r="AA42" i="5" s="1"/>
  <c r="M81" i="3"/>
  <c r="R146" i="33" l="1"/>
  <c r="C147" i="33" s="1"/>
  <c r="AX29" i="5"/>
  <c r="Y29" i="5" s="1"/>
  <c r="AX38" i="5"/>
  <c r="Y38" i="5" s="1"/>
  <c r="AX34" i="5"/>
  <c r="Y34" i="5" s="1"/>
  <c r="AX37" i="5"/>
  <c r="Y37" i="5" s="1"/>
  <c r="AX42" i="5"/>
  <c r="Y42" i="5" s="1"/>
  <c r="AX33" i="5"/>
  <c r="Y33" i="5" s="1"/>
  <c r="AX35" i="5"/>
  <c r="Y35" i="5" s="1"/>
  <c r="AX30" i="5"/>
  <c r="Y30" i="5" s="1"/>
  <c r="AX40" i="5"/>
  <c r="Y40" i="5" s="1"/>
  <c r="AX43" i="5"/>
  <c r="Y43" i="5" s="1"/>
  <c r="AX41" i="5"/>
  <c r="Y41" i="5" s="1"/>
  <c r="AX36" i="5"/>
  <c r="Y36" i="5" s="1"/>
  <c r="AX32" i="5"/>
  <c r="Y32" i="5" s="1"/>
  <c r="AX31" i="5"/>
  <c r="Y31" i="5" s="1"/>
  <c r="AH32" i="5"/>
  <c r="AA32" i="5" s="1"/>
  <c r="AH38" i="5"/>
  <c r="AA38" i="5" s="1"/>
  <c r="AH39" i="5"/>
  <c r="AA39" i="5" s="1"/>
  <c r="AH31" i="5"/>
  <c r="AA31" i="5" s="1"/>
  <c r="AH37" i="5"/>
  <c r="AA37" i="5" s="1"/>
  <c r="AH34" i="5"/>
  <c r="AA34" i="5" s="1"/>
  <c r="AH41" i="5"/>
  <c r="AA41" i="5" s="1"/>
  <c r="AH36" i="5"/>
  <c r="AA36" i="5" s="1"/>
  <c r="AH40" i="5"/>
  <c r="AA40" i="5" s="1"/>
  <c r="AH33" i="5"/>
  <c r="AA33" i="5" s="1"/>
  <c r="AH43" i="5"/>
  <c r="AA43" i="5" s="1"/>
  <c r="Z44" i="5"/>
  <c r="W9" i="24"/>
  <c r="V9" i="24"/>
  <c r="Y44" i="5" l="1"/>
  <c r="D60" i="5" s="1"/>
  <c r="X9" i="24"/>
  <c r="X4" i="24" s="1"/>
  <c r="Z60" i="30" l="1"/>
  <c r="Z59" i="30"/>
  <c r="AA37" i="2" l="1"/>
  <c r="T36" i="2"/>
  <c r="AB36" i="2"/>
  <c r="AB37" i="2"/>
  <c r="AB38" i="2"/>
  <c r="AB39" i="2"/>
  <c r="AB40" i="2"/>
  <c r="AB41" i="2"/>
  <c r="AB42" i="2"/>
  <c r="AB43" i="2"/>
  <c r="AB44" i="2"/>
  <c r="AB45" i="2"/>
  <c r="AB46" i="2"/>
  <c r="AB47" i="2"/>
  <c r="AB48" i="2"/>
  <c r="AB49" i="2"/>
  <c r="AB35" i="2"/>
  <c r="AA35" i="2"/>
  <c r="AC36" i="2"/>
  <c r="AC37" i="2"/>
  <c r="AC38" i="2"/>
  <c r="AC39" i="2"/>
  <c r="AC40" i="2"/>
  <c r="AC41" i="2"/>
  <c r="AC42" i="2"/>
  <c r="AC43" i="2"/>
  <c r="AC44" i="2"/>
  <c r="AC45" i="2"/>
  <c r="AC46" i="2"/>
  <c r="AC47" i="2"/>
  <c r="AC48" i="2"/>
  <c r="AC49" i="2"/>
  <c r="AC35" i="2"/>
  <c r="W60" i="2"/>
  <c r="W61" i="2"/>
  <c r="W62" i="2"/>
  <c r="W63" i="2"/>
  <c r="W64" i="2"/>
  <c r="W65" i="2"/>
  <c r="W66" i="2"/>
  <c r="W67" i="2"/>
  <c r="W68" i="2"/>
  <c r="W69" i="2"/>
  <c r="W70" i="2"/>
  <c r="W71" i="2"/>
  <c r="W72" i="2"/>
  <c r="W59" i="2"/>
  <c r="W36" i="2"/>
  <c r="W37" i="2"/>
  <c r="W38" i="2"/>
  <c r="W39" i="2"/>
  <c r="W40" i="2"/>
  <c r="W41" i="2"/>
  <c r="W42" i="2"/>
  <c r="W43" i="2"/>
  <c r="W44" i="2"/>
  <c r="W45" i="2"/>
  <c r="W46" i="2"/>
  <c r="W47" i="2"/>
  <c r="W48" i="2"/>
  <c r="W49" i="2"/>
  <c r="W35" i="2"/>
  <c r="U36" i="2"/>
  <c r="U37" i="2"/>
  <c r="U38" i="2"/>
  <c r="U39" i="2"/>
  <c r="U40" i="2"/>
  <c r="U41" i="2"/>
  <c r="U42" i="2"/>
  <c r="U43" i="2"/>
  <c r="U44" i="2"/>
  <c r="U45" i="2"/>
  <c r="U46" i="2"/>
  <c r="U47" i="2"/>
  <c r="U48" i="2"/>
  <c r="U49" i="2"/>
  <c r="U35" i="2"/>
  <c r="U60" i="2"/>
  <c r="U61" i="2"/>
  <c r="U62" i="2"/>
  <c r="U63" i="2"/>
  <c r="U64" i="2"/>
  <c r="U65" i="2"/>
  <c r="U66" i="2"/>
  <c r="U67" i="2"/>
  <c r="U68" i="2"/>
  <c r="U69" i="2"/>
  <c r="U70" i="2"/>
  <c r="U71" i="2"/>
  <c r="U72" i="2"/>
  <c r="U59" i="2"/>
  <c r="T60" i="2"/>
  <c r="T61" i="2"/>
  <c r="T62" i="2"/>
  <c r="T63" i="2"/>
  <c r="T64" i="2"/>
  <c r="T65" i="2"/>
  <c r="T66" i="2"/>
  <c r="T67" i="2"/>
  <c r="T68" i="2"/>
  <c r="T69" i="2"/>
  <c r="T70" i="2"/>
  <c r="T71" i="2"/>
  <c r="T72" i="2"/>
  <c r="T59" i="2"/>
  <c r="S60" i="2"/>
  <c r="P60" i="2" s="1"/>
  <c r="S61" i="2"/>
  <c r="P61" i="2" s="1"/>
  <c r="S62" i="2"/>
  <c r="P62" i="2" s="1"/>
  <c r="S63" i="2"/>
  <c r="P63" i="2" s="1"/>
  <c r="S64" i="2"/>
  <c r="P64" i="2" s="1"/>
  <c r="S65" i="2"/>
  <c r="P65" i="2" s="1"/>
  <c r="S66" i="2"/>
  <c r="P66" i="2" s="1"/>
  <c r="S67" i="2"/>
  <c r="P67" i="2" s="1"/>
  <c r="S68" i="2"/>
  <c r="P68" i="2" s="1"/>
  <c r="S69" i="2"/>
  <c r="P69" i="2" s="1"/>
  <c r="S70" i="2"/>
  <c r="P70" i="2" s="1"/>
  <c r="S71" i="2"/>
  <c r="P71" i="2" s="1"/>
  <c r="S72" i="2"/>
  <c r="P72" i="2" s="1"/>
  <c r="S59" i="2"/>
  <c r="P59" i="2" s="1"/>
  <c r="T37" i="2"/>
  <c r="T38" i="2"/>
  <c r="T39" i="2"/>
  <c r="T40" i="2"/>
  <c r="T41" i="2"/>
  <c r="T42" i="2"/>
  <c r="T43" i="2"/>
  <c r="T44" i="2"/>
  <c r="T45" i="2"/>
  <c r="T46" i="2"/>
  <c r="T47" i="2"/>
  <c r="T48" i="2"/>
  <c r="T49" i="2"/>
  <c r="T35" i="2"/>
  <c r="S36" i="2"/>
  <c r="P36" i="2" s="1"/>
  <c r="AU157" i="15" s="1"/>
  <c r="AW157" i="15" s="1"/>
  <c r="S37" i="2"/>
  <c r="P37" i="2" s="1"/>
  <c r="AU158" i="15" s="1"/>
  <c r="AW158" i="15" s="1"/>
  <c r="S38" i="2"/>
  <c r="P38" i="2" s="1"/>
  <c r="AU159" i="15" s="1"/>
  <c r="AW159" i="15" s="1"/>
  <c r="S39" i="2"/>
  <c r="P39" i="2" s="1"/>
  <c r="AU160" i="15" s="1"/>
  <c r="AW160" i="15" s="1"/>
  <c r="S40" i="2"/>
  <c r="P40" i="2" s="1"/>
  <c r="AU161" i="15" s="1"/>
  <c r="AW161" i="15" s="1"/>
  <c r="S41" i="2"/>
  <c r="P41" i="2" s="1"/>
  <c r="AU162" i="15" s="1"/>
  <c r="AW162" i="15" s="1"/>
  <c r="S42" i="2"/>
  <c r="P42" i="2" s="1"/>
  <c r="AU163" i="15" s="1"/>
  <c r="AW163" i="15" s="1"/>
  <c r="S43" i="2"/>
  <c r="P43" i="2" s="1"/>
  <c r="AU164" i="15" s="1"/>
  <c r="AW164" i="15" s="1"/>
  <c r="S44" i="2"/>
  <c r="P44" i="2" s="1"/>
  <c r="AU165" i="15" s="1"/>
  <c r="AW165" i="15" s="1"/>
  <c r="S45" i="2"/>
  <c r="P45" i="2" s="1"/>
  <c r="AU166" i="15" s="1"/>
  <c r="AW166" i="15" s="1"/>
  <c r="S46" i="2"/>
  <c r="P46" i="2" s="1"/>
  <c r="AU167" i="15" s="1"/>
  <c r="AW167" i="15" s="1"/>
  <c r="S47" i="2"/>
  <c r="P47" i="2" s="1"/>
  <c r="AU168" i="15" s="1"/>
  <c r="AW168" i="15" s="1"/>
  <c r="S48" i="2"/>
  <c r="P48" i="2" s="1"/>
  <c r="AU169" i="15" s="1"/>
  <c r="AW169" i="15" s="1"/>
  <c r="S49" i="2"/>
  <c r="P49" i="2" s="1"/>
  <c r="AU170" i="15" s="1"/>
  <c r="AW170" i="15" s="1"/>
  <c r="S35" i="2"/>
  <c r="P35" i="2" s="1"/>
  <c r="AU156" i="15" s="1"/>
  <c r="AM80" i="2"/>
  <c r="AM81" i="2"/>
  <c r="AM82" i="2"/>
  <c r="AM83" i="2"/>
  <c r="AM84" i="2"/>
  <c r="AM85" i="2"/>
  <c r="AM86" i="2"/>
  <c r="AM87" i="2"/>
  <c r="AM88" i="2"/>
  <c r="AM89" i="2"/>
  <c r="AM90" i="2"/>
  <c r="AM91" i="2"/>
  <c r="AM92" i="2"/>
  <c r="AM79" i="2"/>
  <c r="AM60" i="2"/>
  <c r="AM61" i="2"/>
  <c r="AM62" i="2"/>
  <c r="AM63" i="2"/>
  <c r="AM64" i="2"/>
  <c r="AM65" i="2"/>
  <c r="AM66" i="2"/>
  <c r="AM67" i="2"/>
  <c r="AM68" i="2"/>
  <c r="AM69" i="2"/>
  <c r="AM70" i="2"/>
  <c r="AM71" i="2"/>
  <c r="AM72" i="2"/>
  <c r="AM73" i="2"/>
  <c r="AM59" i="2"/>
  <c r="L30" i="24"/>
  <c r="N30" i="24" s="1"/>
  <c r="F28" i="24"/>
  <c r="F29" i="24"/>
  <c r="F30" i="24"/>
  <c r="O30" i="24" s="1"/>
  <c r="F31" i="24"/>
  <c r="F32" i="24"/>
  <c r="F33" i="24"/>
  <c r="F34" i="24"/>
  <c r="F35" i="24"/>
  <c r="F36" i="24"/>
  <c r="F37" i="24"/>
  <c r="F38" i="24"/>
  <c r="F39" i="24"/>
  <c r="F40" i="24"/>
  <c r="F41" i="24"/>
  <c r="F42" i="24"/>
  <c r="F43" i="24"/>
  <c r="F44" i="24"/>
  <c r="F45" i="24"/>
  <c r="F46" i="24"/>
  <c r="F47" i="24"/>
  <c r="F48" i="24"/>
  <c r="F49" i="24"/>
  <c r="F50" i="24"/>
  <c r="F51" i="24"/>
  <c r="F52" i="24"/>
  <c r="F53" i="24"/>
  <c r="L34" i="18"/>
  <c r="L52" i="18"/>
  <c r="M52" i="18" s="1"/>
  <c r="N52" i="18"/>
  <c r="N33" i="18"/>
  <c r="N34" i="18"/>
  <c r="N35" i="18"/>
  <c r="N36" i="18"/>
  <c r="N37" i="18"/>
  <c r="N38" i="18"/>
  <c r="N39" i="18"/>
  <c r="N40" i="18"/>
  <c r="N41" i="18"/>
  <c r="N42" i="18"/>
  <c r="N43" i="18"/>
  <c r="N44" i="18"/>
  <c r="N45" i="18"/>
  <c r="N46" i="18"/>
  <c r="N47" i="18"/>
  <c r="N48" i="18"/>
  <c r="N50" i="18"/>
  <c r="N49" i="18"/>
  <c r="L48" i="18"/>
  <c r="L44" i="18"/>
  <c r="L33" i="18"/>
  <c r="L35" i="18"/>
  <c r="L36" i="18"/>
  <c r="L37" i="18"/>
  <c r="L38" i="18"/>
  <c r="L39" i="18"/>
  <c r="L40" i="18"/>
  <c r="L41" i="18"/>
  <c r="L42" i="18"/>
  <c r="L43" i="18"/>
  <c r="L45" i="18"/>
  <c r="L46" i="18"/>
  <c r="L47" i="18"/>
  <c r="L49" i="18"/>
  <c r="L50" i="18"/>
  <c r="AE40" i="5" l="1"/>
  <c r="AL40" i="5" s="1"/>
  <c r="AD40" i="29"/>
  <c r="AE43" i="5"/>
  <c r="AL43" i="5" s="1"/>
  <c r="AD43" i="29"/>
  <c r="AE39" i="5"/>
  <c r="AL39" i="5" s="1"/>
  <c r="AD39" i="29"/>
  <c r="AE42" i="5"/>
  <c r="AL42" i="5" s="1"/>
  <c r="AD42" i="29"/>
  <c r="AE38" i="5"/>
  <c r="AL38" i="5" s="1"/>
  <c r="AD38" i="29"/>
  <c r="AD41" i="29"/>
  <c r="AE41" i="5"/>
  <c r="AL41" i="5" s="1"/>
  <c r="AD37" i="29"/>
  <c r="AE37" i="5"/>
  <c r="AL37" i="5" s="1"/>
  <c r="AE36" i="5"/>
  <c r="AL36" i="5" s="1"/>
  <c r="AD36" i="29"/>
  <c r="AD32" i="29"/>
  <c r="AE32" i="5"/>
  <c r="AL32" i="5" s="1"/>
  <c r="AE34" i="5"/>
  <c r="AL34" i="5" s="1"/>
  <c r="AD34" i="29"/>
  <c r="AD33" i="29"/>
  <c r="AE33" i="5"/>
  <c r="AL33" i="5" s="1"/>
  <c r="AD35" i="29"/>
  <c r="AE35" i="5"/>
  <c r="AD31" i="29"/>
  <c r="AE31" i="5"/>
  <c r="AL31" i="5" s="1"/>
  <c r="AE30" i="5"/>
  <c r="AD30" i="29"/>
  <c r="AE29" i="5"/>
  <c r="AD29" i="29"/>
  <c r="AR138" i="15"/>
  <c r="AL163" i="15"/>
  <c r="AL164" i="15"/>
  <c r="AL162" i="15"/>
  <c r="AL161" i="15"/>
  <c r="AL35" i="5" l="1"/>
  <c r="AG35" i="5" s="1"/>
  <c r="AH35" i="5" s="1"/>
  <c r="AA35" i="5" s="1"/>
  <c r="AL30" i="5"/>
  <c r="AG30" i="5"/>
  <c r="AH30" i="5" s="1"/>
  <c r="AA30" i="5" s="1"/>
  <c r="AU138" i="15"/>
  <c r="AL29" i="5"/>
  <c r="AG29" i="5" s="1"/>
  <c r="AH29" i="5" s="1"/>
  <c r="AA29" i="5" s="1"/>
  <c r="Z58" i="15"/>
  <c r="AE56" i="15"/>
  <c r="AA44" i="5" l="1"/>
  <c r="L53" i="15"/>
  <c r="AF56" i="15"/>
  <c r="Y14" i="24"/>
  <c r="AQ141" i="30"/>
  <c r="AM141" i="30"/>
  <c r="AA43" i="2" l="1"/>
  <c r="AN59" i="2"/>
  <c r="X59" i="30"/>
  <c r="X10" i="18"/>
  <c r="Y9" i="2"/>
  <c r="R37" i="3" s="1"/>
  <c r="T37" i="3" s="1"/>
  <c r="R47" i="3"/>
  <c r="AM110" i="2"/>
  <c r="AN110" i="2" s="1"/>
  <c r="AM100" i="2"/>
  <c r="AS100" i="2" s="1"/>
  <c r="AM101" i="2"/>
  <c r="AN101" i="2" s="1"/>
  <c r="AM102" i="2"/>
  <c r="AO102" i="2" s="1"/>
  <c r="AM103" i="2"/>
  <c r="AO103" i="2" s="1"/>
  <c r="AR103" i="2" s="1"/>
  <c r="AM104" i="2"/>
  <c r="AS104" i="2" s="1"/>
  <c r="AM105" i="2"/>
  <c r="AN105" i="2" s="1"/>
  <c r="AM106" i="2"/>
  <c r="AN106" i="2" s="1"/>
  <c r="AM107" i="2"/>
  <c r="AO107" i="2" s="1"/>
  <c r="AR107" i="2" s="1"/>
  <c r="AM108" i="2"/>
  <c r="AO108" i="2" s="1"/>
  <c r="AM109" i="2"/>
  <c r="AN109" i="2" s="1"/>
  <c r="AM99" i="2"/>
  <c r="AF60" i="2"/>
  <c r="AF61" i="2"/>
  <c r="AF62" i="2"/>
  <c r="AF63" i="2"/>
  <c r="AF64" i="2"/>
  <c r="AF65" i="2"/>
  <c r="AF66" i="2"/>
  <c r="AF67" i="2"/>
  <c r="AF68" i="2"/>
  <c r="AF69" i="2"/>
  <c r="AF70" i="2"/>
  <c r="AF71" i="2"/>
  <c r="AF72" i="2"/>
  <c r="AF59" i="2"/>
  <c r="AF47" i="2"/>
  <c r="AF48" i="2"/>
  <c r="AF49" i="2"/>
  <c r="AF46" i="2"/>
  <c r="AF45" i="2"/>
  <c r="AF44" i="2"/>
  <c r="AF43" i="2"/>
  <c r="AF42" i="2"/>
  <c r="AF41" i="2"/>
  <c r="AF40" i="2"/>
  <c r="AF39" i="2"/>
  <c r="AF38" i="2"/>
  <c r="AF37" i="2"/>
  <c r="AF36" i="2"/>
  <c r="AF35" i="2"/>
  <c r="AF20" i="2"/>
  <c r="AF21" i="2"/>
  <c r="AF22" i="2"/>
  <c r="AF23" i="2"/>
  <c r="AF24" i="2"/>
  <c r="AF25" i="2"/>
  <c r="AF26" i="2"/>
  <c r="AF27" i="2"/>
  <c r="AF28" i="2"/>
  <c r="AF29" i="2"/>
  <c r="AF30" i="2"/>
  <c r="AF19" i="2"/>
  <c r="Y60" i="2"/>
  <c r="Y61" i="2"/>
  <c r="Y62" i="2"/>
  <c r="Y63" i="2"/>
  <c r="Y64" i="2"/>
  <c r="Y65" i="2"/>
  <c r="Y66" i="2"/>
  <c r="Y67" i="2"/>
  <c r="Y68" i="2"/>
  <c r="Y69" i="2"/>
  <c r="Y70" i="2"/>
  <c r="Y71" i="2"/>
  <c r="Y72" i="2"/>
  <c r="Y59" i="2"/>
  <c r="Y36" i="2"/>
  <c r="Y37" i="2"/>
  <c r="Y38" i="2"/>
  <c r="Y39" i="2"/>
  <c r="Y40" i="2"/>
  <c r="Y41" i="2"/>
  <c r="Y42" i="2"/>
  <c r="Y43" i="2"/>
  <c r="Y44" i="2"/>
  <c r="Y45" i="2"/>
  <c r="Y46" i="2"/>
  <c r="Y47" i="2"/>
  <c r="Y48" i="2"/>
  <c r="Y49" i="2"/>
  <c r="Y35" i="2"/>
  <c r="AO105" i="2" l="1"/>
  <c r="AR105" i="2" s="1"/>
  <c r="AO101" i="2"/>
  <c r="AR101" i="2" s="1"/>
  <c r="AN102" i="2"/>
  <c r="AQ102" i="2" s="1"/>
  <c r="AO106" i="2"/>
  <c r="AR106" i="2" s="1"/>
  <c r="AO110" i="2"/>
  <c r="AR110" i="2" s="1"/>
  <c r="AN103" i="2"/>
  <c r="AQ103" i="2" s="1"/>
  <c r="AO109" i="2"/>
  <c r="AR109" i="2" s="1"/>
  <c r="AR108" i="2"/>
  <c r="AN108" i="2"/>
  <c r="AQ108" i="2" s="1"/>
  <c r="AS108" i="2"/>
  <c r="AN107" i="2"/>
  <c r="AQ107" i="2" s="1"/>
  <c r="AO100" i="2"/>
  <c r="AR100" i="2" s="1"/>
  <c r="AS103" i="2"/>
  <c r="AS107" i="2"/>
  <c r="AN100" i="2"/>
  <c r="AQ100" i="2" s="1"/>
  <c r="AN104" i="2"/>
  <c r="AQ104" i="2" s="1"/>
  <c r="AM111" i="2"/>
  <c r="AO104" i="2"/>
  <c r="AR104" i="2" s="1"/>
  <c r="Z57" i="30"/>
  <c r="X57" i="30" s="1"/>
  <c r="AD35" i="2"/>
  <c r="AO99" i="2"/>
  <c r="AR99" i="2" s="1"/>
  <c r="AN99" i="2"/>
  <c r="AQ99" i="2" s="1"/>
  <c r="AQ106" i="2"/>
  <c r="AS99" i="2"/>
  <c r="AQ110" i="2"/>
  <c r="AQ101" i="2"/>
  <c r="AR102" i="2"/>
  <c r="AQ105" i="2"/>
  <c r="AQ109" i="2"/>
  <c r="AS101" i="2"/>
  <c r="AS105" i="2"/>
  <c r="AS106" i="2"/>
  <c r="AS109" i="2"/>
  <c r="AS110" i="2"/>
  <c r="AN111" i="2" l="1"/>
  <c r="AN112" i="2" s="1"/>
  <c r="AS102" i="2"/>
  <c r="AS111" i="2" s="1"/>
  <c r="AS112" i="2" s="1"/>
  <c r="AR111" i="2"/>
  <c r="AR112" i="2" s="1"/>
  <c r="AL19" i="30" s="1"/>
  <c r="AQ111" i="2"/>
  <c r="AQ112" i="2" s="1"/>
  <c r="AK19" i="30" s="1"/>
  <c r="AO111" i="2"/>
  <c r="AO112" i="2" s="1"/>
  <c r="U22" i="1"/>
  <c r="X48" i="1"/>
  <c r="Y50" i="1"/>
  <c r="O176" i="15"/>
  <c r="Q173" i="15" s="1"/>
  <c r="AI9" i="30"/>
  <c r="Z24" i="30" s="1"/>
  <c r="AG9" i="30"/>
  <c r="Z23" i="30" s="1"/>
  <c r="AK7" i="30"/>
  <c r="AM7" i="30"/>
  <c r="AI7" i="30"/>
  <c r="AK6" i="30"/>
  <c r="AI6" i="30"/>
  <c r="AH6" i="30"/>
  <c r="AG6" i="30"/>
  <c r="Z68" i="30" s="1"/>
  <c r="AD53" i="29"/>
  <c r="AD54" i="29"/>
  <c r="AD55" i="29"/>
  <c r="AD56" i="29"/>
  <c r="AD52" i="29"/>
  <c r="AC33" i="29"/>
  <c r="Z53" i="29"/>
  <c r="Z54" i="29"/>
  <c r="Z55" i="29"/>
  <c r="Z56" i="29"/>
  <c r="Z52" i="29"/>
  <c r="AE66" i="30"/>
  <c r="AE53" i="5"/>
  <c r="AE54" i="5"/>
  <c r="AE55" i="5"/>
  <c r="AE56" i="5"/>
  <c r="AE52" i="5"/>
  <c r="AA53" i="5"/>
  <c r="AA54" i="5"/>
  <c r="AA55" i="5"/>
  <c r="AA56" i="5"/>
  <c r="AA52" i="5"/>
  <c r="Z12" i="24"/>
  <c r="U14" i="24"/>
  <c r="X14" i="18"/>
  <c r="B15" i="24"/>
  <c r="B14" i="18"/>
  <c r="X5" i="24"/>
  <c r="U16" i="24"/>
  <c r="T16" i="24"/>
  <c r="W3" i="18"/>
  <c r="X6" i="18"/>
  <c r="U17" i="24"/>
  <c r="X3" i="18"/>
  <c r="T17" i="24"/>
  <c r="W6" i="18"/>
  <c r="AI68" i="24"/>
  <c r="B13" i="18"/>
  <c r="AC108" i="30"/>
  <c r="Z113" i="30" s="1"/>
  <c r="AC76" i="30"/>
  <c r="AC110" i="30"/>
  <c r="AH155" i="30"/>
  <c r="AR141" i="30"/>
  <c r="AX141" i="30"/>
  <c r="AW141" i="30"/>
  <c r="AV141" i="30"/>
  <c r="AU141" i="30"/>
  <c r="AP141" i="30"/>
  <c r="AO141" i="30"/>
  <c r="AN141" i="30"/>
  <c r="AL141" i="30"/>
  <c r="AE127" i="30"/>
  <c r="AC98" i="30"/>
  <c r="B23" i="24"/>
  <c r="AC96" i="30"/>
  <c r="AB96" i="30" s="1"/>
  <c r="Z87" i="30" l="1"/>
  <c r="X87" i="30" s="1"/>
  <c r="Z109" i="30"/>
  <c r="X109" i="30" s="1"/>
  <c r="Z104" i="30"/>
  <c r="X104" i="30" s="1"/>
  <c r="Z58" i="30"/>
  <c r="X58" i="30" s="1"/>
  <c r="Z22" i="30"/>
  <c r="X22" i="30" s="1"/>
  <c r="Z19" i="30"/>
  <c r="X19" i="30" s="1"/>
  <c r="Z18" i="30"/>
  <c r="X18" i="30" s="1"/>
  <c r="Z21" i="30"/>
  <c r="X21" i="30" s="1"/>
  <c r="Z20" i="30"/>
  <c r="X20" i="30" s="1"/>
  <c r="Z17" i="30"/>
  <c r="X113" i="30"/>
  <c r="X23" i="30"/>
  <c r="X24" i="30"/>
  <c r="X68" i="30"/>
  <c r="AD68" i="24"/>
  <c r="AE69" i="24"/>
  <c r="AG69" i="24"/>
  <c r="AH69" i="24"/>
  <c r="AB68" i="24"/>
  <c r="AC69" i="24"/>
  <c r="AE72" i="24"/>
  <c r="AH72" i="24"/>
  <c r="V17" i="24"/>
  <c r="AB72" i="24"/>
  <c r="AC72" i="24"/>
  <c r="AF68" i="24"/>
  <c r="AF72" i="24"/>
  <c r="AI69" i="24"/>
  <c r="AC68" i="24"/>
  <c r="AD72" i="24"/>
  <c r="AG68" i="24"/>
  <c r="AH68" i="24"/>
  <c r="AI72" i="24"/>
  <c r="AB69" i="24"/>
  <c r="AD69" i="24"/>
  <c r="AE68" i="24"/>
  <c r="AF69" i="24"/>
  <c r="AG72" i="24"/>
  <c r="V16" i="24"/>
  <c r="Y3" i="18"/>
  <c r="Y6" i="18"/>
  <c r="V13" i="18" l="1"/>
  <c r="AE67" i="18"/>
  <c r="X60" i="30"/>
  <c r="AF70" i="18" l="1"/>
  <c r="X13" i="34"/>
  <c r="AG66" i="18"/>
  <c r="AD67" i="18"/>
  <c r="AI67" i="18"/>
  <c r="AE70" i="18"/>
  <c r="AH67" i="18"/>
  <c r="AH66" i="18"/>
  <c r="AF67" i="18"/>
  <c r="AI70" i="18"/>
  <c r="AF66" i="18"/>
  <c r="AI66" i="18"/>
  <c r="AH70" i="18"/>
  <c r="AG67" i="18"/>
  <c r="AC70" i="18"/>
  <c r="AC66" i="18"/>
  <c r="AJ66" i="18"/>
  <c r="AG70" i="18"/>
  <c r="AD66" i="18"/>
  <c r="AD70" i="18"/>
  <c r="AJ67" i="18"/>
  <c r="AC67" i="18"/>
  <c r="AJ70" i="18"/>
  <c r="AE66" i="18"/>
  <c r="Z139" i="30"/>
  <c r="X139" i="30" s="1"/>
  <c r="AF157" i="30"/>
  <c r="AF160" i="30" s="1"/>
  <c r="AE152" i="30"/>
  <c r="Z137" i="30" s="1"/>
  <c r="AE150" i="30"/>
  <c r="AE149" i="30"/>
  <c r="AE148" i="30"/>
  <c r="Z133" i="30" s="1"/>
  <c r="AR101" i="30"/>
  <c r="AQ101" i="30"/>
  <c r="AP101" i="30"/>
  <c r="AO101" i="30"/>
  <c r="AN101" i="30"/>
  <c r="AM101" i="30"/>
  <c r="AL101" i="30"/>
  <c r="AK101" i="30"/>
  <c r="AJ101" i="30"/>
  <c r="AQ97" i="30"/>
  <c r="AP97" i="30"/>
  <c r="AO97" i="30"/>
  <c r="AN97" i="30"/>
  <c r="AM97" i="30"/>
  <c r="AL97" i="30"/>
  <c r="AK97" i="30"/>
  <c r="AJ97" i="30"/>
  <c r="AQ96" i="30"/>
  <c r="AP96" i="30"/>
  <c r="AO96" i="30"/>
  <c r="AN96" i="30"/>
  <c r="AM96" i="30"/>
  <c r="AL96" i="30"/>
  <c r="AK96" i="30"/>
  <c r="AJ96" i="30"/>
  <c r="AQ95" i="30"/>
  <c r="AP95" i="30"/>
  <c r="AO95" i="30"/>
  <c r="AN95" i="30"/>
  <c r="AM95" i="30"/>
  <c r="AL95" i="30"/>
  <c r="AK95" i="30"/>
  <c r="AJ95" i="30"/>
  <c r="AQ92" i="30"/>
  <c r="AP92" i="30"/>
  <c r="AO92" i="30"/>
  <c r="AN92" i="30"/>
  <c r="AM92" i="30"/>
  <c r="AL92" i="30"/>
  <c r="AK92" i="30"/>
  <c r="AJ92" i="30"/>
  <c r="AQ89" i="30"/>
  <c r="AP89" i="30"/>
  <c r="AO89" i="30"/>
  <c r="AN89" i="30"/>
  <c r="AM89" i="30"/>
  <c r="AL89" i="30"/>
  <c r="AK89" i="30"/>
  <c r="AJ89" i="30"/>
  <c r="AQ88" i="30"/>
  <c r="AP88" i="30"/>
  <c r="AO88" i="30"/>
  <c r="AN88" i="30"/>
  <c r="AM88" i="30"/>
  <c r="AL88" i="30"/>
  <c r="AK88" i="30"/>
  <c r="AJ88" i="30"/>
  <c r="AQ87" i="30"/>
  <c r="AP87" i="30"/>
  <c r="AO87" i="30"/>
  <c r="AN87" i="30"/>
  <c r="AM87" i="30"/>
  <c r="AL87" i="30"/>
  <c r="AK87" i="30"/>
  <c r="AJ87" i="30"/>
  <c r="AQ84" i="30"/>
  <c r="AP84" i="30"/>
  <c r="AO84" i="30"/>
  <c r="AN84" i="30"/>
  <c r="AM84" i="30"/>
  <c r="AL84" i="30"/>
  <c r="AK84" i="30"/>
  <c r="AJ84" i="30"/>
  <c r="AQ80" i="30"/>
  <c r="AP80" i="30"/>
  <c r="AO80" i="30"/>
  <c r="AN80" i="30"/>
  <c r="AM80" i="30"/>
  <c r="AL80" i="30"/>
  <c r="AK80" i="30"/>
  <c r="AJ80" i="30"/>
  <c r="AQ79" i="30"/>
  <c r="AP79" i="30"/>
  <c r="AO79" i="30"/>
  <c r="AN79" i="30"/>
  <c r="AM79" i="30"/>
  <c r="AL79" i="30"/>
  <c r="AK79" i="30"/>
  <c r="AJ79" i="30"/>
  <c r="AQ78" i="30"/>
  <c r="AP78" i="30"/>
  <c r="AO78" i="30"/>
  <c r="AN78" i="30"/>
  <c r="AM78" i="30"/>
  <c r="AL78" i="30"/>
  <c r="AK78" i="30"/>
  <c r="AJ78" i="30"/>
  <c r="AQ75" i="30"/>
  <c r="AP75" i="30"/>
  <c r="AO75" i="30"/>
  <c r="AN75" i="30"/>
  <c r="AM75" i="30"/>
  <c r="AL75" i="30"/>
  <c r="AK75" i="30"/>
  <c r="AJ75" i="30"/>
  <c r="AQ72" i="30"/>
  <c r="AP72" i="30"/>
  <c r="AO72" i="30"/>
  <c r="AN72" i="30"/>
  <c r="AM72" i="30"/>
  <c r="AL72" i="30"/>
  <c r="AK72" i="30"/>
  <c r="AJ72" i="30"/>
  <c r="AQ71" i="30"/>
  <c r="AP71" i="30"/>
  <c r="AO71" i="30"/>
  <c r="AN71" i="30"/>
  <c r="AM71" i="30"/>
  <c r="AL71" i="30"/>
  <c r="AK71" i="30"/>
  <c r="AJ71" i="30"/>
  <c r="AQ70" i="30"/>
  <c r="AP70" i="30"/>
  <c r="AO70" i="30"/>
  <c r="AN70" i="30"/>
  <c r="AM70" i="30"/>
  <c r="AL70" i="30"/>
  <c r="AK70" i="30"/>
  <c r="AJ70" i="30"/>
  <c r="AQ67" i="30"/>
  <c r="AP67" i="30"/>
  <c r="AO67" i="30"/>
  <c r="AN67" i="30"/>
  <c r="AM67" i="30"/>
  <c r="AL67" i="30"/>
  <c r="AK67" i="30"/>
  <c r="AJ67" i="30"/>
  <c r="AQ50" i="30"/>
  <c r="AP50" i="30"/>
  <c r="AO50" i="30"/>
  <c r="AN50" i="30"/>
  <c r="AM50" i="30"/>
  <c r="AL50" i="30"/>
  <c r="AK50" i="30"/>
  <c r="AQ49" i="30"/>
  <c r="AP49" i="30"/>
  <c r="AO49" i="30"/>
  <c r="AN49" i="30"/>
  <c r="AM49" i="30"/>
  <c r="AL49" i="30"/>
  <c r="AK49" i="30"/>
  <c r="AJ49" i="30"/>
  <c r="AQ48" i="30"/>
  <c r="AP48" i="30"/>
  <c r="AO48" i="30"/>
  <c r="AN48" i="30"/>
  <c r="AM48" i="30"/>
  <c r="AL48" i="30"/>
  <c r="AK48" i="30"/>
  <c r="AJ48" i="30"/>
  <c r="AH39" i="30"/>
  <c r="AI24" i="30"/>
  <c r="AH24" i="30"/>
  <c r="AB60" i="28"/>
  <c r="AQ50" i="28"/>
  <c r="AQ49" i="28"/>
  <c r="AP50" i="28"/>
  <c r="AP49" i="28"/>
  <c r="AP48" i="28"/>
  <c r="AO50" i="28"/>
  <c r="AO49" i="28"/>
  <c r="AO48" i="28"/>
  <c r="AN48" i="28"/>
  <c r="AN50" i="28"/>
  <c r="AN49" i="28"/>
  <c r="AM50" i="28"/>
  <c r="AM49" i="28"/>
  <c r="AL50" i="28"/>
  <c r="AL49" i="28"/>
  <c r="AK50" i="28"/>
  <c r="AK49" i="28"/>
  <c r="AK48" i="28"/>
  <c r="AJ49" i="28"/>
  <c r="AJ48" i="28"/>
  <c r="AQ48" i="28"/>
  <c r="AM48" i="28"/>
  <c r="AL48" i="28"/>
  <c r="Z34" i="30" l="1"/>
  <c r="X34" i="30" s="1"/>
  <c r="Z83" i="30"/>
  <c r="X83" i="30" s="1"/>
  <c r="Z80" i="30"/>
  <c r="X80" i="30" s="1"/>
  <c r="Z84" i="30"/>
  <c r="X84" i="30" s="1"/>
  <c r="Z89" i="30"/>
  <c r="Z93" i="30"/>
  <c r="X93" i="30" s="1"/>
  <c r="Z81" i="30"/>
  <c r="X81" i="30" s="1"/>
  <c r="Z85" i="30"/>
  <c r="X85" i="30" s="1"/>
  <c r="Z90" i="30"/>
  <c r="Z94" i="30"/>
  <c r="X94" i="30" s="1"/>
  <c r="Z92" i="30"/>
  <c r="X92" i="30" s="1"/>
  <c r="Z82" i="30"/>
  <c r="X82" i="30" s="1"/>
  <c r="Z86" i="30"/>
  <c r="Z91" i="30"/>
  <c r="X91" i="30" s="1"/>
  <c r="Z95" i="30"/>
  <c r="X95" i="30" s="1"/>
  <c r="Z76" i="30"/>
  <c r="X76" i="30" s="1"/>
  <c r="Z135" i="30"/>
  <c r="X135" i="30" s="1"/>
  <c r="Z134" i="30"/>
  <c r="X134" i="30" s="1"/>
  <c r="Z65" i="30"/>
  <c r="X65" i="30" s="1"/>
  <c r="Z70" i="30"/>
  <c r="X70" i="30" s="1"/>
  <c r="Z63" i="30"/>
  <c r="X63" i="30" s="1"/>
  <c r="Z61" i="30"/>
  <c r="X61" i="30" s="1"/>
  <c r="Z67" i="30"/>
  <c r="X67" i="30" s="1"/>
  <c r="Z72" i="30"/>
  <c r="X72" i="30" s="1"/>
  <c r="Z74" i="30"/>
  <c r="X74" i="30" s="1"/>
  <c r="Z64" i="30"/>
  <c r="X64" i="30" s="1"/>
  <c r="Z73" i="30"/>
  <c r="X73" i="30" s="1"/>
  <c r="Z62" i="30"/>
  <c r="X62" i="30" s="1"/>
  <c r="Z66" i="30"/>
  <c r="X66" i="30" s="1"/>
  <c r="Z71" i="30"/>
  <c r="X71" i="30" s="1"/>
  <c r="Z75" i="30"/>
  <c r="X75" i="30" s="1"/>
  <c r="AM51" i="28"/>
  <c r="X137" i="30"/>
  <c r="AR78" i="30"/>
  <c r="AS78" i="30" s="1"/>
  <c r="AR79" i="30"/>
  <c r="AS79" i="30" s="1"/>
  <c r="AR80" i="30"/>
  <c r="AS80" i="30" s="1"/>
  <c r="AJ55" i="30"/>
  <c r="AJ50" i="30" s="1"/>
  <c r="AJ51" i="30" s="1"/>
  <c r="AQ51" i="28"/>
  <c r="AL51" i="30"/>
  <c r="AO51" i="28"/>
  <c r="AR71" i="30"/>
  <c r="AS71" i="30" s="1"/>
  <c r="AR89" i="30"/>
  <c r="AS89" i="30" s="1"/>
  <c r="X89" i="30"/>
  <c r="X133" i="30"/>
  <c r="AN51" i="30"/>
  <c r="AR70" i="30"/>
  <c r="AS70" i="30" s="1"/>
  <c r="AR87" i="30"/>
  <c r="AS87" i="30" s="1"/>
  <c r="AP51" i="30"/>
  <c r="AR72" i="30"/>
  <c r="AS72" i="30" s="1"/>
  <c r="X86" i="30"/>
  <c r="AR88" i="30"/>
  <c r="AS88" i="30" s="1"/>
  <c r="X90" i="30"/>
  <c r="AK51" i="30"/>
  <c r="AO51" i="30"/>
  <c r="AM51" i="30"/>
  <c r="AQ51" i="30"/>
  <c r="AT101" i="30"/>
  <c r="AR95" i="30"/>
  <c r="AS95" i="30" s="1"/>
  <c r="AR96" i="30"/>
  <c r="AS96" i="30" s="1"/>
  <c r="AR97" i="30"/>
  <c r="AS97" i="30" s="1"/>
  <c r="AK51" i="28"/>
  <c r="AJ55" i="28"/>
  <c r="AJ50" i="28" s="1"/>
  <c r="AJ51" i="28" s="1"/>
  <c r="AN51" i="28"/>
  <c r="AP51" i="28"/>
  <c r="AL51" i="28"/>
  <c r="V22" i="2"/>
  <c r="U17" i="5"/>
  <c r="Y20" i="2"/>
  <c r="Y21" i="2"/>
  <c r="V21" i="2" s="1"/>
  <c r="Y22" i="2"/>
  <c r="Y23" i="2"/>
  <c r="Y24" i="2"/>
  <c r="Y25" i="2"/>
  <c r="Y26" i="2"/>
  <c r="Y27" i="2"/>
  <c r="Y28" i="2"/>
  <c r="Y29" i="2"/>
  <c r="Y30" i="2"/>
  <c r="Y19" i="2"/>
  <c r="V19" i="2" s="1"/>
  <c r="P29" i="18"/>
  <c r="AH39" i="28"/>
  <c r="AI24" i="28"/>
  <c r="AH24" i="28"/>
  <c r="Z44" i="30"/>
  <c r="X44" i="30" s="1"/>
  <c r="Z105" i="30" l="1"/>
  <c r="X105" i="30" s="1"/>
  <c r="Z99" i="30"/>
  <c r="X99" i="30" s="1"/>
  <c r="Z108" i="30"/>
  <c r="X108" i="30" s="1"/>
  <c r="Z111" i="30"/>
  <c r="X111" i="30" s="1"/>
  <c r="Z107" i="30"/>
  <c r="X107" i="30" s="1"/>
  <c r="Z101" i="30"/>
  <c r="X101" i="30" s="1"/>
  <c r="Z106" i="30"/>
  <c r="X106" i="30" s="1"/>
  <c r="Z100" i="30"/>
  <c r="X100" i="30" s="1"/>
  <c r="Z102" i="30"/>
  <c r="X102" i="30" s="1"/>
  <c r="V83" i="30"/>
  <c r="W83" i="30"/>
  <c r="W90" i="30"/>
  <c r="V90" i="30"/>
  <c r="W76" i="30"/>
  <c r="V76" i="30"/>
  <c r="W84" i="30"/>
  <c r="V84" i="30"/>
  <c r="V81" i="30"/>
  <c r="W81" i="30"/>
  <c r="V63" i="30"/>
  <c r="W63" i="30"/>
  <c r="V73" i="30"/>
  <c r="W73" i="30"/>
  <c r="W72" i="30"/>
  <c r="V72" i="30"/>
  <c r="V67" i="30"/>
  <c r="W67" i="30"/>
  <c r="W68" i="30" s="1"/>
  <c r="W80" i="30"/>
  <c r="V80" i="30"/>
  <c r="V66" i="30"/>
  <c r="W66" i="30"/>
  <c r="V93" i="30"/>
  <c r="W93" i="30"/>
  <c r="V61" i="30"/>
  <c r="W61" i="30"/>
  <c r="V75" i="30"/>
  <c r="W75" i="30"/>
  <c r="V95" i="30"/>
  <c r="W95" i="30"/>
  <c r="W86" i="30"/>
  <c r="W87" i="30" s="1"/>
  <c r="V86" i="30"/>
  <c r="W92" i="30"/>
  <c r="V92" i="30"/>
  <c r="W74" i="30"/>
  <c r="V74" i="30"/>
  <c r="W62" i="30"/>
  <c r="V62" i="30"/>
  <c r="W89" i="30"/>
  <c r="V89" i="30"/>
  <c r="V65" i="30"/>
  <c r="W65" i="30"/>
  <c r="V71" i="30"/>
  <c r="W71" i="30"/>
  <c r="V91" i="30"/>
  <c r="W91" i="30"/>
  <c r="V94" i="30"/>
  <c r="W94" i="30"/>
  <c r="V82" i="30"/>
  <c r="W82" i="30"/>
  <c r="W64" i="30"/>
  <c r="V64" i="30"/>
  <c r="W70" i="30"/>
  <c r="V70" i="30"/>
  <c r="V85" i="30"/>
  <c r="W85" i="30"/>
  <c r="Z27" i="28"/>
  <c r="X27" i="28" s="1"/>
  <c r="AS73" i="30"/>
  <c r="AS90" i="30"/>
  <c r="AS81" i="30"/>
  <c r="Z79" i="30" s="1"/>
  <c r="AS98" i="30"/>
  <c r="Z98" i="30" s="1"/>
  <c r="AT51" i="30"/>
  <c r="Z50" i="30" s="1"/>
  <c r="AT51" i="28"/>
  <c r="AB51" i="28" s="1"/>
  <c r="X19" i="2"/>
  <c r="V20" i="2"/>
  <c r="Z88" i="30" l="1"/>
  <c r="X88" i="30" s="1"/>
  <c r="Z49" i="30"/>
  <c r="X49" i="30" s="1"/>
  <c r="Z56" i="30"/>
  <c r="X56" i="30" s="1"/>
  <c r="Z53" i="30"/>
  <c r="X53" i="30" s="1"/>
  <c r="Z52" i="30"/>
  <c r="X52" i="30" s="1"/>
  <c r="Z55" i="30"/>
  <c r="X55" i="30" s="1"/>
  <c r="Z51" i="30"/>
  <c r="X51" i="30" s="1"/>
  <c r="Z69" i="30"/>
  <c r="X69" i="30" s="1"/>
  <c r="V69" i="30" s="1"/>
  <c r="V102" i="30"/>
  <c r="V100" i="30"/>
  <c r="V101" i="30"/>
  <c r="W101" i="30"/>
  <c r="W102" i="30" s="1"/>
  <c r="V106" i="30"/>
  <c r="V108" i="30"/>
  <c r="V107" i="30"/>
  <c r="V111" i="30"/>
  <c r="V99" i="30"/>
  <c r="W99" i="30"/>
  <c r="W100" i="30" s="1"/>
  <c r="V105" i="30"/>
  <c r="AB57" i="28"/>
  <c r="AB54" i="28"/>
  <c r="AB53" i="28"/>
  <c r="AB52" i="28"/>
  <c r="AB56" i="28"/>
  <c r="AB50" i="28"/>
  <c r="X50" i="30"/>
  <c r="X79" i="30"/>
  <c r="X98" i="30"/>
  <c r="V88" i="30" l="1"/>
  <c r="W88" i="30"/>
  <c r="W69" i="30"/>
  <c r="V79" i="30"/>
  <c r="W79" i="30"/>
  <c r="V98" i="30"/>
  <c r="W98" i="30"/>
  <c r="V49" i="30"/>
  <c r="W49" i="30"/>
  <c r="W50" i="30" s="1"/>
  <c r="W51" i="30" s="1"/>
  <c r="W52" i="30" s="1"/>
  <c r="W53" i="30" s="1"/>
  <c r="AC120" i="30"/>
  <c r="AC117" i="30"/>
  <c r="AC121" i="30"/>
  <c r="AC118" i="30"/>
  <c r="AC114" i="30"/>
  <c r="AC113" i="30"/>
  <c r="AC122" i="30"/>
  <c r="AC119" i="30"/>
  <c r="AC112" i="30"/>
  <c r="AC116" i="30"/>
  <c r="AC115" i="30"/>
  <c r="AC57" i="30" l="1"/>
  <c r="AC55" i="30"/>
  <c r="AC54" i="30"/>
  <c r="AC53" i="30"/>
  <c r="AC52" i="30"/>
  <c r="AC51" i="30"/>
  <c r="AC58" i="30"/>
  <c r="AC59" i="30"/>
  <c r="AC60" i="30"/>
  <c r="AC50" i="30"/>
  <c r="AC49" i="30"/>
  <c r="AC56" i="30"/>
  <c r="AA36" i="2" l="1"/>
  <c r="AX92" i="2"/>
  <c r="AW92" i="2"/>
  <c r="AV92" i="2"/>
  <c r="AU92" i="2"/>
  <c r="AX91" i="2"/>
  <c r="AW91" i="2"/>
  <c r="AV91" i="2"/>
  <c r="AU91" i="2"/>
  <c r="BC91" i="2" s="1"/>
  <c r="AX90" i="2"/>
  <c r="AW90" i="2"/>
  <c r="AV90" i="2"/>
  <c r="AU90" i="2"/>
  <c r="AX89" i="2"/>
  <c r="AW89" i="2"/>
  <c r="AV89" i="2"/>
  <c r="AU89" i="2"/>
  <c r="BC89" i="2" s="1"/>
  <c r="AX88" i="2"/>
  <c r="AW88" i="2"/>
  <c r="AV88" i="2"/>
  <c r="AU88" i="2"/>
  <c r="AX87" i="2"/>
  <c r="AW87" i="2"/>
  <c r="AV87" i="2"/>
  <c r="AU87" i="2"/>
  <c r="BC87" i="2" s="1"/>
  <c r="AX86" i="2"/>
  <c r="AW86" i="2"/>
  <c r="AV86" i="2"/>
  <c r="AU86" i="2"/>
  <c r="AX85" i="2"/>
  <c r="AW85" i="2"/>
  <c r="AV85" i="2"/>
  <c r="AU85" i="2"/>
  <c r="BC85" i="2" s="1"/>
  <c r="AX84" i="2"/>
  <c r="AW84" i="2"/>
  <c r="AV84" i="2"/>
  <c r="AU84" i="2"/>
  <c r="AX83" i="2"/>
  <c r="AW83" i="2"/>
  <c r="AV83" i="2"/>
  <c r="AU83" i="2"/>
  <c r="BC83" i="2" s="1"/>
  <c r="AX82" i="2"/>
  <c r="AW82" i="2"/>
  <c r="AV82" i="2"/>
  <c r="AU82" i="2"/>
  <c r="AX81" i="2"/>
  <c r="AW81" i="2"/>
  <c r="AV81" i="2"/>
  <c r="AU81" i="2"/>
  <c r="BC81" i="2" s="1"/>
  <c r="AX80" i="2"/>
  <c r="AW80" i="2"/>
  <c r="AV80" i="2"/>
  <c r="AU80" i="2"/>
  <c r="AX79" i="2"/>
  <c r="AW79" i="2"/>
  <c r="AV79" i="2"/>
  <c r="AU79" i="2"/>
  <c r="AA38" i="2"/>
  <c r="AA39" i="2"/>
  <c r="AA40" i="2"/>
  <c r="AA41" i="2"/>
  <c r="AA42" i="2"/>
  <c r="AA44" i="2"/>
  <c r="AA45" i="2"/>
  <c r="AA46" i="2"/>
  <c r="AA47" i="2"/>
  <c r="AA48" i="2"/>
  <c r="AA49" i="2"/>
  <c r="AA20" i="2"/>
  <c r="AA21" i="2"/>
  <c r="AA22" i="2"/>
  <c r="AA23" i="2"/>
  <c r="AA24" i="2"/>
  <c r="AA25" i="2"/>
  <c r="AA26" i="2"/>
  <c r="AA27" i="2"/>
  <c r="AA28" i="2"/>
  <c r="AA29" i="2"/>
  <c r="AA30" i="2"/>
  <c r="AA19" i="2"/>
  <c r="AX73" i="2"/>
  <c r="AW73" i="2"/>
  <c r="AV73" i="2"/>
  <c r="AU73" i="2"/>
  <c r="BC73" i="2" s="1"/>
  <c r="AX72" i="2"/>
  <c r="AW72" i="2"/>
  <c r="AV72" i="2"/>
  <c r="AU72" i="2"/>
  <c r="BC72" i="2" s="1"/>
  <c r="AX71" i="2"/>
  <c r="AW71" i="2"/>
  <c r="AV71" i="2"/>
  <c r="AU71" i="2"/>
  <c r="BC71" i="2" s="1"/>
  <c r="AX70" i="2"/>
  <c r="AW70" i="2"/>
  <c r="AV70" i="2"/>
  <c r="AU70" i="2"/>
  <c r="BC70" i="2" s="1"/>
  <c r="AX69" i="2"/>
  <c r="AW69" i="2"/>
  <c r="AV69" i="2"/>
  <c r="AU69" i="2"/>
  <c r="BC69" i="2" s="1"/>
  <c r="AX68" i="2"/>
  <c r="AW68" i="2"/>
  <c r="AV68" i="2"/>
  <c r="AU68" i="2"/>
  <c r="BC68" i="2" s="1"/>
  <c r="AX67" i="2"/>
  <c r="AW67" i="2"/>
  <c r="AV67" i="2"/>
  <c r="AU67" i="2"/>
  <c r="BC67" i="2" s="1"/>
  <c r="AX66" i="2"/>
  <c r="AW66" i="2"/>
  <c r="AV66" i="2"/>
  <c r="AU66" i="2"/>
  <c r="BC66" i="2" s="1"/>
  <c r="AX65" i="2"/>
  <c r="AW65" i="2"/>
  <c r="AV65" i="2"/>
  <c r="AU65" i="2"/>
  <c r="BC65" i="2" s="1"/>
  <c r="AX64" i="2"/>
  <c r="AW64" i="2"/>
  <c r="AV64" i="2"/>
  <c r="AU64" i="2"/>
  <c r="BC64" i="2" s="1"/>
  <c r="AX63" i="2"/>
  <c r="AW63" i="2"/>
  <c r="AV63" i="2"/>
  <c r="AU63" i="2"/>
  <c r="BC63" i="2" s="1"/>
  <c r="AX62" i="2"/>
  <c r="AW62" i="2"/>
  <c r="AV62" i="2"/>
  <c r="AU62" i="2"/>
  <c r="BC62" i="2" s="1"/>
  <c r="AX61" i="2"/>
  <c r="AW61" i="2"/>
  <c r="AV61" i="2"/>
  <c r="AU61" i="2"/>
  <c r="BC61" i="2" s="1"/>
  <c r="AX60" i="2"/>
  <c r="AW60" i="2"/>
  <c r="AV60" i="2"/>
  <c r="AU60" i="2"/>
  <c r="BC60" i="2" s="1"/>
  <c r="AX59" i="2"/>
  <c r="AX74" i="2" s="1"/>
  <c r="AW59" i="2"/>
  <c r="AV59" i="2"/>
  <c r="AU59" i="2"/>
  <c r="AX51" i="2"/>
  <c r="AW51" i="2"/>
  <c r="AV51" i="2"/>
  <c r="AU51" i="2"/>
  <c r="BC51" i="2" s="1"/>
  <c r="AX50" i="2"/>
  <c r="AW50" i="2"/>
  <c r="AV50" i="2"/>
  <c r="AU50" i="2"/>
  <c r="BC50" i="2" s="1"/>
  <c r="AX49" i="2"/>
  <c r="AW49" i="2"/>
  <c r="AV49" i="2"/>
  <c r="AU49" i="2"/>
  <c r="BC49" i="2" s="1"/>
  <c r="AX48" i="2"/>
  <c r="AW48" i="2"/>
  <c r="AV48" i="2"/>
  <c r="AU48" i="2"/>
  <c r="BC48" i="2" s="1"/>
  <c r="AX47" i="2"/>
  <c r="AW47" i="2"/>
  <c r="AV47" i="2"/>
  <c r="AU47" i="2"/>
  <c r="BC47" i="2" s="1"/>
  <c r="AX46" i="2"/>
  <c r="AW46" i="2"/>
  <c r="AV46" i="2"/>
  <c r="AU46" i="2"/>
  <c r="BC46" i="2" s="1"/>
  <c r="AX45" i="2"/>
  <c r="AW45" i="2"/>
  <c r="AV45" i="2"/>
  <c r="AU45" i="2"/>
  <c r="BC45" i="2" s="1"/>
  <c r="AX44" i="2"/>
  <c r="AW44" i="2"/>
  <c r="AV44" i="2"/>
  <c r="AU44" i="2"/>
  <c r="BC44" i="2" s="1"/>
  <c r="AX43" i="2"/>
  <c r="AW43" i="2"/>
  <c r="AV43" i="2"/>
  <c r="AU43" i="2"/>
  <c r="BC43" i="2" s="1"/>
  <c r="AX42" i="2"/>
  <c r="AW42" i="2"/>
  <c r="AV42" i="2"/>
  <c r="AU42" i="2"/>
  <c r="BC42" i="2" s="1"/>
  <c r="AX41" i="2"/>
  <c r="AW41" i="2"/>
  <c r="AV41" i="2"/>
  <c r="AU41" i="2"/>
  <c r="BC41" i="2" s="1"/>
  <c r="AX40" i="2"/>
  <c r="AW40" i="2"/>
  <c r="AV40" i="2"/>
  <c r="AU40" i="2"/>
  <c r="BC40" i="2" s="1"/>
  <c r="AT91" i="2" l="1"/>
  <c r="AZ91" i="2" s="1"/>
  <c r="AU93" i="2"/>
  <c r="AU74" i="2"/>
  <c r="AT87" i="2"/>
  <c r="AZ87" i="2" s="1"/>
  <c r="AT89" i="2"/>
  <c r="BB89" i="2" s="1"/>
  <c r="AT79" i="2"/>
  <c r="AZ79" i="2" s="1"/>
  <c r="AT81" i="2"/>
  <c r="AZ81" i="2" s="1"/>
  <c r="AT83" i="2"/>
  <c r="AZ83" i="2" s="1"/>
  <c r="AT85" i="2"/>
  <c r="AZ85" i="2" s="1"/>
  <c r="AT88" i="2"/>
  <c r="BA88" i="2" s="1"/>
  <c r="AT90" i="2"/>
  <c r="AZ90" i="2" s="1"/>
  <c r="AT80" i="2"/>
  <c r="AZ80" i="2" s="1"/>
  <c r="AT86" i="2"/>
  <c r="BB86" i="2" s="1"/>
  <c r="AT62" i="2"/>
  <c r="AT64" i="2"/>
  <c r="AT66" i="2"/>
  <c r="BA66" i="2" s="1"/>
  <c r="AT70" i="2"/>
  <c r="BA70" i="2" s="1"/>
  <c r="AT72" i="2"/>
  <c r="AW93" i="2"/>
  <c r="AT92" i="2"/>
  <c r="BB92" i="2" s="1"/>
  <c r="AT68" i="2"/>
  <c r="AX93" i="2"/>
  <c r="AT47" i="2"/>
  <c r="BA47" i="2" s="1"/>
  <c r="AT84" i="2"/>
  <c r="AZ84" i="2" s="1"/>
  <c r="AV93" i="2"/>
  <c r="AT82" i="2"/>
  <c r="BB82" i="2" s="1"/>
  <c r="AP79" i="2"/>
  <c r="AT59" i="2"/>
  <c r="BA59" i="2" s="1"/>
  <c r="AY89" i="2"/>
  <c r="BC80" i="2"/>
  <c r="BC82" i="2"/>
  <c r="BC84" i="2"/>
  <c r="BC86" i="2"/>
  <c r="BC88" i="2"/>
  <c r="BC90" i="2"/>
  <c r="BA91" i="2"/>
  <c r="BC92" i="2"/>
  <c r="BC79" i="2"/>
  <c r="AY91" i="2"/>
  <c r="BB91" i="2"/>
  <c r="AT41" i="2"/>
  <c r="BA41" i="2" s="1"/>
  <c r="AT43" i="2"/>
  <c r="BA43" i="2" s="1"/>
  <c r="AT44" i="2"/>
  <c r="BA44" i="2" s="1"/>
  <c r="AT46" i="2"/>
  <c r="BA46" i="2" s="1"/>
  <c r="AT49" i="2"/>
  <c r="BA49" i="2" s="1"/>
  <c r="AT51" i="2"/>
  <c r="BA51" i="2" s="1"/>
  <c r="AW74" i="2"/>
  <c r="AV74" i="2"/>
  <c r="AT60" i="2"/>
  <c r="AT42" i="2"/>
  <c r="BB42" i="2" s="1"/>
  <c r="AT48" i="2"/>
  <c r="BA48" i="2" s="1"/>
  <c r="AT40" i="2"/>
  <c r="AZ40" i="2" s="1"/>
  <c r="AT50" i="2"/>
  <c r="BA50" i="2" s="1"/>
  <c r="AT61" i="2"/>
  <c r="AY61" i="2" s="1"/>
  <c r="AT63" i="2"/>
  <c r="AY63" i="2" s="1"/>
  <c r="AT65" i="2"/>
  <c r="AY65" i="2" s="1"/>
  <c r="AT67" i="2"/>
  <c r="AY67" i="2" s="1"/>
  <c r="AT69" i="2"/>
  <c r="AY69" i="2" s="1"/>
  <c r="AT71" i="2"/>
  <c r="AY71" i="2" s="1"/>
  <c r="AT73" i="2"/>
  <c r="AY73" i="2" s="1"/>
  <c r="BC59" i="2"/>
  <c r="BC74" i="2" s="1"/>
  <c r="BC75" i="2" s="1"/>
  <c r="BC52" i="2"/>
  <c r="BC53" i="2" s="1"/>
  <c r="AT45" i="2"/>
  <c r="AY87" i="2" l="1"/>
  <c r="AY84" i="2"/>
  <c r="AY47" i="2"/>
  <c r="BA87" i="2"/>
  <c r="BA84" i="2"/>
  <c r="BA90" i="2"/>
  <c r="BA92" i="2"/>
  <c r="AY90" i="2"/>
  <c r="BB90" i="2"/>
  <c r="AZ47" i="2"/>
  <c r="BB47" i="2"/>
  <c r="AY88" i="2"/>
  <c r="AY85" i="2"/>
  <c r="AZ89" i="2"/>
  <c r="BA85" i="2"/>
  <c r="BA89" i="2"/>
  <c r="AY86" i="2"/>
  <c r="AY92" i="2"/>
  <c r="AZ70" i="2"/>
  <c r="BB87" i="2"/>
  <c r="BA86" i="2"/>
  <c r="AZ92" i="2"/>
  <c r="BB84" i="2"/>
  <c r="BA80" i="2"/>
  <c r="BB80" i="2"/>
  <c r="BB83" i="2"/>
  <c r="AY83" i="2"/>
  <c r="BA83" i="2"/>
  <c r="AZ44" i="2"/>
  <c r="AY44" i="2"/>
  <c r="AY51" i="2"/>
  <c r="BB85" i="2"/>
  <c r="AZ86" i="2"/>
  <c r="BA81" i="2"/>
  <c r="AY80" i="2"/>
  <c r="AY82" i="2"/>
  <c r="BB81" i="2"/>
  <c r="AY81" i="2"/>
  <c r="AY79" i="2"/>
  <c r="BA79" i="2"/>
  <c r="BB88" i="2"/>
  <c r="BB72" i="2"/>
  <c r="AY72" i="2"/>
  <c r="BA72" i="2"/>
  <c r="AZ88" i="2"/>
  <c r="BA82" i="2"/>
  <c r="AT93" i="2"/>
  <c r="BB68" i="2"/>
  <c r="AY68" i="2"/>
  <c r="BB70" i="2"/>
  <c r="AY70" i="2"/>
  <c r="AY43" i="2"/>
  <c r="BC93" i="2"/>
  <c r="BC94" i="2" s="1"/>
  <c r="BB79" i="2"/>
  <c r="AQ19" i="28"/>
  <c r="AQ19" i="30"/>
  <c r="BB66" i="2"/>
  <c r="AY66" i="2"/>
  <c r="BB64" i="2"/>
  <c r="AY64" i="2"/>
  <c r="BB62" i="2"/>
  <c r="AY62" i="2"/>
  <c r="BB60" i="2"/>
  <c r="AY60" i="2"/>
  <c r="AQ17" i="28"/>
  <c r="AQ17" i="30"/>
  <c r="AZ66" i="2"/>
  <c r="AZ64" i="2"/>
  <c r="BA64" i="2"/>
  <c r="BA62" i="2"/>
  <c r="AZ62" i="2"/>
  <c r="BA68" i="2"/>
  <c r="AZ68" i="2"/>
  <c r="BB59" i="2"/>
  <c r="AY59" i="2"/>
  <c r="AZ59" i="2"/>
  <c r="AZ42" i="2"/>
  <c r="AZ48" i="2"/>
  <c r="AZ43" i="2"/>
  <c r="AY49" i="2"/>
  <c r="BB49" i="2"/>
  <c r="AZ72" i="2"/>
  <c r="AZ49" i="2"/>
  <c r="AY42" i="2"/>
  <c r="AY46" i="2"/>
  <c r="AY41" i="2"/>
  <c r="AZ41" i="2"/>
  <c r="BB41" i="2"/>
  <c r="AZ82" i="2"/>
  <c r="BA42" i="2"/>
  <c r="BB50" i="2"/>
  <c r="AZ46" i="2"/>
  <c r="BB48" i="2"/>
  <c r="BB46" i="2"/>
  <c r="BB44" i="2"/>
  <c r="AZ51" i="2"/>
  <c r="BB51" i="2"/>
  <c r="BB43" i="2"/>
  <c r="AY48" i="2"/>
  <c r="AY40" i="2"/>
  <c r="BA60" i="2"/>
  <c r="AZ60" i="2"/>
  <c r="AY50" i="2"/>
  <c r="AZ50" i="2"/>
  <c r="BB40" i="2"/>
  <c r="BA40" i="2"/>
  <c r="BA65" i="2"/>
  <c r="AZ65" i="2"/>
  <c r="BB65" i="2"/>
  <c r="BA73" i="2"/>
  <c r="AZ73" i="2"/>
  <c r="BB73" i="2"/>
  <c r="BA69" i="2"/>
  <c r="AZ69" i="2"/>
  <c r="BB69" i="2"/>
  <c r="BA61" i="2"/>
  <c r="AZ61" i="2"/>
  <c r="BB61" i="2"/>
  <c r="BA71" i="2"/>
  <c r="AZ71" i="2"/>
  <c r="BB71" i="2"/>
  <c r="BA67" i="2"/>
  <c r="AZ67" i="2"/>
  <c r="BB67" i="2"/>
  <c r="BA63" i="2"/>
  <c r="AZ63" i="2"/>
  <c r="BB63" i="2"/>
  <c r="BA45" i="2"/>
  <c r="AY45" i="2"/>
  <c r="AZ45" i="2"/>
  <c r="BB45" i="2"/>
  <c r="AZ93" i="2" l="1"/>
  <c r="AZ94" i="2" s="1"/>
  <c r="AO19" i="30" s="1"/>
  <c r="AY93" i="2"/>
  <c r="AY94" i="2" s="1"/>
  <c r="AN19" i="28" s="1"/>
  <c r="BA93" i="2"/>
  <c r="BA94" i="2" s="1"/>
  <c r="AP19" i="28" s="1"/>
  <c r="BB93" i="2"/>
  <c r="BB94" i="2" s="1"/>
  <c r="AR19" i="28" s="1"/>
  <c r="AO19" i="28"/>
  <c r="AQ18" i="30"/>
  <c r="AQ20" i="30" s="1"/>
  <c r="AQ18" i="28"/>
  <c r="AQ20" i="28" s="1"/>
  <c r="Z24" i="28" s="1"/>
  <c r="X24" i="28" s="1"/>
  <c r="AY74" i="2"/>
  <c r="AY75" i="2" s="1"/>
  <c r="AN18" i="28" s="1"/>
  <c r="AZ52" i="2"/>
  <c r="AZ53" i="2" s="1"/>
  <c r="BA52" i="2"/>
  <c r="BA53" i="2" s="1"/>
  <c r="BB52" i="2"/>
  <c r="BB53" i="2" s="1"/>
  <c r="AY52" i="2"/>
  <c r="AY53" i="2" s="1"/>
  <c r="AZ74" i="2"/>
  <c r="AZ75" i="2" s="1"/>
  <c r="BA74" i="2"/>
  <c r="BA75" i="2" s="1"/>
  <c r="BB74" i="2"/>
  <c r="BB75" i="2" s="1"/>
  <c r="AN19" i="30" l="1"/>
  <c r="AP19" i="30"/>
  <c r="Z31" i="30"/>
  <c r="X31" i="30" s="1"/>
  <c r="AR19" i="30"/>
  <c r="AR17" i="28"/>
  <c r="AR17" i="30"/>
  <c r="AP17" i="28"/>
  <c r="AP17" i="30"/>
  <c r="AO17" i="28"/>
  <c r="AO17" i="30"/>
  <c r="AN17" i="28"/>
  <c r="AN20" i="28" s="1"/>
  <c r="Z21" i="28" s="1"/>
  <c r="X21" i="28" s="1"/>
  <c r="AN17" i="30"/>
  <c r="AN18" i="30"/>
  <c r="AR18" i="28"/>
  <c r="AR18" i="30"/>
  <c r="AP18" i="28"/>
  <c r="AP18" i="30"/>
  <c r="AO18" i="28"/>
  <c r="AO18" i="30"/>
  <c r="AO20" i="30" l="1"/>
  <c r="Z29" i="30" s="1"/>
  <c r="X29" i="30" s="1"/>
  <c r="AO20" i="28"/>
  <c r="Z22" i="28" s="1"/>
  <c r="X22" i="28" s="1"/>
  <c r="AR20" i="30"/>
  <c r="AR20" i="28"/>
  <c r="Z26" i="28" s="1"/>
  <c r="X26" i="28" s="1"/>
  <c r="AP20" i="28"/>
  <c r="Z23" i="28" s="1"/>
  <c r="X23" i="28" s="1"/>
  <c r="AP20" i="30"/>
  <c r="AN20" i="30"/>
  <c r="AC116" i="15"/>
  <c r="Z30" i="30" l="1"/>
  <c r="X30" i="30" s="1"/>
  <c r="Z28" i="30"/>
  <c r="X28" i="30" s="1"/>
  <c r="Z33" i="30"/>
  <c r="X33" i="30" s="1"/>
  <c r="AB109" i="15" l="1"/>
  <c r="AB110" i="15"/>
  <c r="AB111" i="15"/>
  <c r="AF35" i="15"/>
  <c r="AA110" i="15" l="1"/>
  <c r="K111" i="15" s="1"/>
  <c r="AS139" i="15"/>
  <c r="AS140" i="15"/>
  <c r="AS141" i="15"/>
  <c r="AS142" i="15"/>
  <c r="AS143" i="15"/>
  <c r="AS144" i="15"/>
  <c r="AS145" i="15"/>
  <c r="AS146" i="15"/>
  <c r="AS147" i="15"/>
  <c r="AS148" i="15"/>
  <c r="AS149" i="15"/>
  <c r="AS150" i="15"/>
  <c r="AS151" i="15"/>
  <c r="AS152" i="15"/>
  <c r="AS138" i="15"/>
  <c r="AT138" i="15" s="1"/>
  <c r="U65" i="29"/>
  <c r="U64" i="29"/>
  <c r="U63" i="29"/>
  <c r="U62" i="29"/>
  <c r="U61" i="29"/>
  <c r="U56" i="29"/>
  <c r="U55" i="29"/>
  <c r="U54" i="29"/>
  <c r="U53" i="29"/>
  <c r="U52" i="29"/>
  <c r="T64" i="5"/>
  <c r="T63" i="5"/>
  <c r="T62" i="5"/>
  <c r="T61" i="5"/>
  <c r="T60" i="5"/>
  <c r="T53" i="5"/>
  <c r="T54" i="5"/>
  <c r="T55" i="5"/>
  <c r="T56" i="5"/>
  <c r="T52" i="5"/>
  <c r="R28" i="24"/>
  <c r="R29" i="24"/>
  <c r="R30" i="24"/>
  <c r="R31" i="24"/>
  <c r="R32" i="24"/>
  <c r="R33" i="24"/>
  <c r="R34" i="24"/>
  <c r="R35" i="24"/>
  <c r="R36" i="24"/>
  <c r="R37" i="24"/>
  <c r="R38" i="24"/>
  <c r="R39" i="24"/>
  <c r="R40" i="24"/>
  <c r="R41" i="24"/>
  <c r="R42" i="24"/>
  <c r="R43" i="24"/>
  <c r="R44" i="24"/>
  <c r="R45" i="24"/>
  <c r="R46" i="24"/>
  <c r="R47" i="24"/>
  <c r="R48" i="24"/>
  <c r="R49" i="24"/>
  <c r="R50" i="24"/>
  <c r="R51" i="24"/>
  <c r="R52" i="24"/>
  <c r="R53" i="24"/>
  <c r="H59" i="24"/>
  <c r="H61" i="24"/>
  <c r="H58" i="24"/>
  <c r="H60" i="24"/>
  <c r="H57" i="24"/>
  <c r="F58" i="24"/>
  <c r="F59" i="24"/>
  <c r="F60" i="24"/>
  <c r="F61" i="24"/>
  <c r="F57" i="24"/>
  <c r="E58" i="24"/>
  <c r="E59" i="24"/>
  <c r="E60" i="24"/>
  <c r="E61" i="24"/>
  <c r="E57" i="24"/>
  <c r="D57" i="24"/>
  <c r="D61" i="24"/>
  <c r="D58" i="24"/>
  <c r="D59" i="24"/>
  <c r="D60" i="24"/>
  <c r="C57" i="24"/>
  <c r="C61" i="24"/>
  <c r="C60" i="24"/>
  <c r="C59" i="24"/>
  <c r="C58" i="24"/>
  <c r="O32" i="24"/>
  <c r="O33" i="24"/>
  <c r="O34" i="24"/>
  <c r="O35" i="24"/>
  <c r="O36" i="24"/>
  <c r="O37" i="24"/>
  <c r="O38" i="24"/>
  <c r="O39" i="24"/>
  <c r="O40" i="24"/>
  <c r="O41" i="24"/>
  <c r="O42" i="24"/>
  <c r="O43" i="24"/>
  <c r="O44" i="24"/>
  <c r="O45" i="24"/>
  <c r="O46" i="24"/>
  <c r="O47" i="24"/>
  <c r="O48" i="24"/>
  <c r="O49" i="24"/>
  <c r="O50" i="24"/>
  <c r="O51" i="24"/>
  <c r="O52" i="24"/>
  <c r="O53" i="24"/>
  <c r="I61" i="24" l="1"/>
  <c r="J61" i="24" s="1"/>
  <c r="I58" i="24"/>
  <c r="I59" i="24"/>
  <c r="I60" i="24"/>
  <c r="I57" i="24"/>
  <c r="AE111" i="15"/>
  <c r="AE151" i="30"/>
  <c r="U58" i="29"/>
  <c r="Z121" i="15"/>
  <c r="T58" i="5"/>
  <c r="U67" i="29"/>
  <c r="T66" i="5"/>
  <c r="D25" i="1"/>
  <c r="B14" i="24"/>
  <c r="Z7" i="24"/>
  <c r="Z15" i="24" s="1"/>
  <c r="AB7" i="24"/>
  <c r="AJ113" i="30"/>
  <c r="S15" i="24"/>
  <c r="S27" i="24"/>
  <c r="T27" i="24"/>
  <c r="U27" i="24"/>
  <c r="AA27" i="24"/>
  <c r="AB27" i="24"/>
  <c r="S28" i="24"/>
  <c r="T28" i="24"/>
  <c r="U28" i="24"/>
  <c r="AA28" i="24"/>
  <c r="AB28" i="24"/>
  <c r="S29" i="24"/>
  <c r="T29" i="24"/>
  <c r="U29" i="24"/>
  <c r="AA29" i="24"/>
  <c r="AB29" i="24"/>
  <c r="S30" i="24"/>
  <c r="T30" i="24"/>
  <c r="U30" i="24"/>
  <c r="AA30" i="24"/>
  <c r="AB30" i="24"/>
  <c r="S31" i="24"/>
  <c r="T31" i="24"/>
  <c r="U31" i="24"/>
  <c r="AA31" i="24"/>
  <c r="AB31" i="24"/>
  <c r="S32" i="24"/>
  <c r="T32" i="24"/>
  <c r="U32" i="24"/>
  <c r="AA32" i="24"/>
  <c r="AB32" i="24"/>
  <c r="S33" i="24"/>
  <c r="T33" i="24"/>
  <c r="U33" i="24"/>
  <c r="AA33" i="24"/>
  <c r="AB33" i="24"/>
  <c r="S34" i="24"/>
  <c r="T34" i="24"/>
  <c r="U34" i="24"/>
  <c r="AA34" i="24"/>
  <c r="AB34" i="24"/>
  <c r="S35" i="24"/>
  <c r="T35" i="24"/>
  <c r="U35" i="24"/>
  <c r="AA35" i="24"/>
  <c r="AB35" i="24"/>
  <c r="S36" i="24"/>
  <c r="T36" i="24"/>
  <c r="U36" i="24"/>
  <c r="AA36" i="24"/>
  <c r="AB36" i="24"/>
  <c r="S37" i="24"/>
  <c r="T37" i="24"/>
  <c r="U37" i="24"/>
  <c r="AA37" i="24"/>
  <c r="AB37" i="24"/>
  <c r="S38" i="24"/>
  <c r="T38" i="24"/>
  <c r="U38" i="24"/>
  <c r="AA38" i="24"/>
  <c r="AB38" i="24"/>
  <c r="S39" i="24"/>
  <c r="T39" i="24"/>
  <c r="U39" i="24"/>
  <c r="AA39" i="24"/>
  <c r="AB39" i="24"/>
  <c r="S40" i="24"/>
  <c r="T40" i="24"/>
  <c r="U40" i="24"/>
  <c r="AA40" i="24"/>
  <c r="AB40" i="24"/>
  <c r="S41" i="24"/>
  <c r="T41" i="24"/>
  <c r="U41" i="24"/>
  <c r="AA41" i="24"/>
  <c r="AB41" i="24"/>
  <c r="S42" i="24"/>
  <c r="T42" i="24"/>
  <c r="U42" i="24"/>
  <c r="AA42" i="24"/>
  <c r="AB42" i="24"/>
  <c r="S43" i="24"/>
  <c r="T43" i="24"/>
  <c r="U43" i="24"/>
  <c r="AA43" i="24"/>
  <c r="AB43" i="24"/>
  <c r="S44" i="24"/>
  <c r="T44" i="24"/>
  <c r="U44" i="24"/>
  <c r="AA44" i="24"/>
  <c r="AB44" i="24"/>
  <c r="S45" i="24"/>
  <c r="T45" i="24"/>
  <c r="U45" i="24"/>
  <c r="AA45" i="24"/>
  <c r="AB45" i="24"/>
  <c r="S46" i="24"/>
  <c r="T46" i="24"/>
  <c r="U46" i="24"/>
  <c r="AA46" i="24"/>
  <c r="AB46" i="24"/>
  <c r="S47" i="24"/>
  <c r="T47" i="24"/>
  <c r="U47" i="24"/>
  <c r="AA47" i="24"/>
  <c r="AB47" i="24"/>
  <c r="S48" i="24"/>
  <c r="T48" i="24"/>
  <c r="U48" i="24"/>
  <c r="AA48" i="24"/>
  <c r="AB48" i="24"/>
  <c r="S49" i="24"/>
  <c r="T49" i="24"/>
  <c r="U49" i="24"/>
  <c r="AA49" i="24"/>
  <c r="AB49" i="24"/>
  <c r="S50" i="24"/>
  <c r="T50" i="24"/>
  <c r="U50" i="24"/>
  <c r="AA50" i="24"/>
  <c r="AB50" i="24"/>
  <c r="S51" i="24"/>
  <c r="T51" i="24"/>
  <c r="U51" i="24"/>
  <c r="AA51" i="24"/>
  <c r="AB51" i="24"/>
  <c r="S52" i="24"/>
  <c r="T52" i="24"/>
  <c r="U52" i="24"/>
  <c r="AA52" i="24"/>
  <c r="AB52" i="24"/>
  <c r="S53" i="24"/>
  <c r="T53" i="24"/>
  <c r="U53" i="24"/>
  <c r="AA53" i="24"/>
  <c r="AB53" i="24"/>
  <c r="V54" i="24"/>
  <c r="AB59" i="24"/>
  <c r="I62" i="24" l="1"/>
  <c r="Z136" i="30"/>
  <c r="X136" i="30" s="1"/>
  <c r="Z103" i="30"/>
  <c r="X103" i="30" s="1"/>
  <c r="W103" i="30" s="1"/>
  <c r="W104" i="30" s="1"/>
  <c r="W105" i="30" s="1"/>
  <c r="W106" i="30" s="1"/>
  <c r="W107" i="30" s="1"/>
  <c r="W108" i="30" s="1"/>
  <c r="W109" i="30" s="1"/>
  <c r="S54" i="24"/>
  <c r="T54" i="24"/>
  <c r="U54" i="24"/>
  <c r="V136" i="30" l="1"/>
  <c r="W136" i="30"/>
  <c r="W137" i="30" s="1"/>
  <c r="AR101" i="28"/>
  <c r="AQ101" i="28"/>
  <c r="AO101" i="28"/>
  <c r="AP101" i="28"/>
  <c r="AN101" i="28"/>
  <c r="AL101" i="28"/>
  <c r="AM101" i="28"/>
  <c r="AK101" i="28"/>
  <c r="AJ101" i="28"/>
  <c r="L45" i="24"/>
  <c r="N45" i="24" s="1"/>
  <c r="L46" i="24"/>
  <c r="N46" i="24" s="1"/>
  <c r="L47" i="24"/>
  <c r="N47" i="24" s="1"/>
  <c r="L48" i="24"/>
  <c r="N48" i="24" s="1"/>
  <c r="L49" i="24"/>
  <c r="N49" i="24" s="1"/>
  <c r="L50" i="24"/>
  <c r="N50" i="24" s="1"/>
  <c r="L51" i="24"/>
  <c r="N51" i="24" s="1"/>
  <c r="L52" i="24"/>
  <c r="N52" i="24" s="1"/>
  <c r="L53" i="24"/>
  <c r="N53" i="24" s="1"/>
  <c r="L28" i="24"/>
  <c r="N28" i="24" s="1"/>
  <c r="L29" i="24"/>
  <c r="N29" i="24" s="1"/>
  <c r="L31" i="24"/>
  <c r="N31" i="24" s="1"/>
  <c r="L32" i="24"/>
  <c r="N32" i="24" s="1"/>
  <c r="L33" i="24"/>
  <c r="N33" i="24" s="1"/>
  <c r="L34" i="24"/>
  <c r="N34" i="24" s="1"/>
  <c r="L35" i="24"/>
  <c r="N35" i="24" s="1"/>
  <c r="L36" i="24"/>
  <c r="N36" i="24" s="1"/>
  <c r="L37" i="24"/>
  <c r="N37" i="24" s="1"/>
  <c r="L38" i="24"/>
  <c r="N38" i="24" s="1"/>
  <c r="L39" i="24"/>
  <c r="N39" i="24" s="1"/>
  <c r="L40" i="24"/>
  <c r="N40" i="24" s="1"/>
  <c r="L41" i="24"/>
  <c r="N41" i="24" s="1"/>
  <c r="L42" i="24"/>
  <c r="N42" i="24" s="1"/>
  <c r="L43" i="24"/>
  <c r="N43" i="24" s="1"/>
  <c r="L44" i="24"/>
  <c r="N44" i="24" s="1"/>
  <c r="AZ138" i="15" l="1"/>
  <c r="N27" i="24"/>
  <c r="AT101" i="28"/>
  <c r="AB112" i="28" s="1"/>
  <c r="N62" i="24"/>
  <c r="N60" i="24"/>
  <c r="N61" i="24"/>
  <c r="AB122" i="28" l="1"/>
  <c r="X122" i="28" s="1"/>
  <c r="AB119" i="28"/>
  <c r="AB114" i="28"/>
  <c r="AB120" i="28"/>
  <c r="X120" i="28" s="1"/>
  <c r="AB115" i="28"/>
  <c r="AB118" i="28"/>
  <c r="AB121" i="28"/>
  <c r="X121" i="28" s="1"/>
  <c r="AB113" i="28"/>
  <c r="J23" i="24"/>
  <c r="AC97" i="30" s="1"/>
  <c r="AB97" i="30" s="1"/>
  <c r="Z110" i="30" l="1"/>
  <c r="X110" i="30" s="1"/>
  <c r="W110" i="30" s="1"/>
  <c r="W111" i="30" s="1"/>
  <c r="Z49" i="5"/>
  <c r="AA49" i="5" s="1"/>
  <c r="K58" i="18" l="1"/>
  <c r="L60" i="18"/>
  <c r="R74" i="3"/>
  <c r="R73" i="3"/>
  <c r="R72" i="3"/>
  <c r="R70" i="3"/>
  <c r="R71" i="3"/>
  <c r="R75" i="3"/>
  <c r="R76" i="3"/>
  <c r="X47" i="3"/>
  <c r="Y48" i="3"/>
  <c r="Y49" i="3"/>
  <c r="Y50" i="3"/>
  <c r="R48" i="3"/>
  <c r="R49" i="3"/>
  <c r="R50" i="3"/>
  <c r="R51" i="3"/>
  <c r="R52" i="3"/>
  <c r="R53" i="3"/>
  <c r="Y39" i="3"/>
  <c r="Y40" i="3"/>
  <c r="X41" i="3"/>
  <c r="X42" i="3"/>
  <c r="Z19" i="3"/>
  <c r="R23" i="3"/>
  <c r="R24" i="3"/>
  <c r="R25" i="3"/>
  <c r="R26" i="3"/>
  <c r="R27" i="3"/>
  <c r="R28" i="3"/>
  <c r="R22" i="3"/>
  <c r="X24" i="3"/>
  <c r="Y25" i="3"/>
  <c r="X26" i="3"/>
  <c r="Y27" i="3"/>
  <c r="X39" i="3" l="1"/>
  <c r="X49" i="3"/>
  <c r="Y41" i="3"/>
  <c r="Y47" i="3"/>
  <c r="X48" i="3"/>
  <c r="X50" i="3"/>
  <c r="X40" i="3"/>
  <c r="Y42" i="3"/>
  <c r="Y24" i="3"/>
  <c r="X27" i="3"/>
  <c r="Y26" i="3"/>
  <c r="X25" i="3"/>
  <c r="AE148" i="28" l="1"/>
  <c r="AB147" i="28" s="1"/>
  <c r="AC133" i="15"/>
  <c r="AD78" i="15"/>
  <c r="AC123" i="15"/>
  <c r="AC98" i="15"/>
  <c r="AD59" i="15"/>
  <c r="AN21" i="15"/>
  <c r="AN22" i="15"/>
  <c r="AN23" i="15"/>
  <c r="AN24" i="15"/>
  <c r="AN25" i="15"/>
  <c r="AN26" i="15"/>
  <c r="AN27" i="15"/>
  <c r="AN28" i="15"/>
  <c r="AN29" i="15"/>
  <c r="AN30" i="15"/>
  <c r="AN31" i="15"/>
  <c r="AN32" i="15"/>
  <c r="AN33" i="15"/>
  <c r="AN34" i="15"/>
  <c r="AN20" i="15"/>
  <c r="AM21" i="15"/>
  <c r="AM22" i="15"/>
  <c r="AM23" i="15"/>
  <c r="AM24" i="15"/>
  <c r="AM25" i="15"/>
  <c r="AM26" i="15"/>
  <c r="AM27" i="15"/>
  <c r="AM28" i="15"/>
  <c r="AM29" i="15"/>
  <c r="AM30" i="15"/>
  <c r="AM31" i="15"/>
  <c r="AM32" i="15"/>
  <c r="AM33" i="15"/>
  <c r="AM34" i="15"/>
  <c r="AM20" i="15"/>
  <c r="AI20" i="15"/>
  <c r="AB100" i="28"/>
  <c r="AJ96" i="28"/>
  <c r="AJ97" i="28"/>
  <c r="AJ95" i="28"/>
  <c r="AJ92" i="28"/>
  <c r="AK87" i="28"/>
  <c r="AJ88" i="28"/>
  <c r="AJ89" i="28"/>
  <c r="AJ87" i="28"/>
  <c r="AJ84" i="28"/>
  <c r="AL84" i="28"/>
  <c r="AM84" i="28"/>
  <c r="AN84" i="28"/>
  <c r="AO84" i="28"/>
  <c r="AP84" i="28"/>
  <c r="AQ84" i="28"/>
  <c r="AK84" i="28"/>
  <c r="AJ67" i="28"/>
  <c r="AJ75" i="28"/>
  <c r="AJ79" i="28"/>
  <c r="AJ80" i="28"/>
  <c r="AJ78" i="28"/>
  <c r="AJ71" i="28"/>
  <c r="AJ72" i="28"/>
  <c r="AJ70" i="28"/>
  <c r="V40" i="5"/>
  <c r="X60" i="28"/>
  <c r="AB97" i="28" l="1"/>
  <c r="AO30" i="15"/>
  <c r="AO29" i="15"/>
  <c r="AO34" i="15"/>
  <c r="AO26" i="15"/>
  <c r="AO33" i="15"/>
  <c r="AO25" i="15"/>
  <c r="AO20" i="15"/>
  <c r="AO31" i="15"/>
  <c r="AO27" i="15"/>
  <c r="AO23" i="15"/>
  <c r="AO32" i="15"/>
  <c r="AO28" i="15"/>
  <c r="AO24" i="15"/>
  <c r="AB93" i="28"/>
  <c r="AB98" i="28"/>
  <c r="AB94" i="28"/>
  <c r="AB99" i="28"/>
  <c r="AB96" i="28"/>
  <c r="AB95" i="28"/>
  <c r="AO21" i="15"/>
  <c r="AO22" i="15"/>
  <c r="AL138" i="15"/>
  <c r="AM138" i="15"/>
  <c r="AN138" i="15"/>
  <c r="AO138" i="15"/>
  <c r="AP138" i="15"/>
  <c r="AL139" i="15"/>
  <c r="AM139" i="15"/>
  <c r="AN139" i="15"/>
  <c r="AO139" i="15"/>
  <c r="AP139" i="15"/>
  <c r="AL140" i="15"/>
  <c r="AM140" i="15"/>
  <c r="AN140" i="15"/>
  <c r="AO140" i="15"/>
  <c r="AP140" i="15"/>
  <c r="AL141" i="15"/>
  <c r="AM141" i="15"/>
  <c r="AN141" i="15"/>
  <c r="AO141" i="15"/>
  <c r="AP141" i="15"/>
  <c r="AL142" i="15"/>
  <c r="AM142" i="15"/>
  <c r="AN142" i="15"/>
  <c r="AO142" i="15"/>
  <c r="AP142" i="15"/>
  <c r="AL143" i="15"/>
  <c r="AM143" i="15"/>
  <c r="AN143" i="15"/>
  <c r="AO143" i="15"/>
  <c r="AP143" i="15"/>
  <c r="AL144" i="15"/>
  <c r="AM144" i="15"/>
  <c r="AN144" i="15"/>
  <c r="AO144" i="15"/>
  <c r="AP144" i="15"/>
  <c r="AL145" i="15"/>
  <c r="AM145" i="15"/>
  <c r="AN145" i="15"/>
  <c r="AO145" i="15"/>
  <c r="AP145" i="15"/>
  <c r="AL146" i="15"/>
  <c r="AM146" i="15"/>
  <c r="AN146" i="15"/>
  <c r="AO146" i="15"/>
  <c r="AP146" i="15"/>
  <c r="AL147" i="15"/>
  <c r="AM147" i="15"/>
  <c r="AN147" i="15"/>
  <c r="AO147" i="15"/>
  <c r="AP147" i="15"/>
  <c r="AR147" i="15"/>
  <c r="AL148" i="15"/>
  <c r="AM148" i="15"/>
  <c r="AN148" i="15"/>
  <c r="AO148" i="15"/>
  <c r="AP148" i="15"/>
  <c r="AR148" i="15"/>
  <c r="AL149" i="15"/>
  <c r="AM149" i="15"/>
  <c r="AN149" i="15"/>
  <c r="AO149" i="15"/>
  <c r="AP149" i="15"/>
  <c r="AR149" i="15"/>
  <c r="AL150" i="15"/>
  <c r="AM150" i="15"/>
  <c r="AN150" i="15"/>
  <c r="AO150" i="15"/>
  <c r="AP150" i="15"/>
  <c r="AR150" i="15"/>
  <c r="AL151" i="15"/>
  <c r="AM151" i="15"/>
  <c r="AN151" i="15"/>
  <c r="AO151" i="15"/>
  <c r="AP151" i="15"/>
  <c r="AR151" i="15"/>
  <c r="AL152" i="15"/>
  <c r="AM152" i="15"/>
  <c r="AN152" i="15"/>
  <c r="AO152" i="15"/>
  <c r="AP152" i="15"/>
  <c r="AR152" i="15"/>
  <c r="AW139" i="15" l="1"/>
  <c r="AV152" i="15"/>
  <c r="AK152" i="15"/>
  <c r="BG152" i="15"/>
  <c r="BF152" i="15"/>
  <c r="AV150" i="15"/>
  <c r="BG150" i="15"/>
  <c r="BF150" i="15"/>
  <c r="AK150" i="15"/>
  <c r="AV148" i="15"/>
  <c r="AK148" i="15"/>
  <c r="BG148" i="15"/>
  <c r="BF148" i="15"/>
  <c r="AV151" i="15"/>
  <c r="AK151" i="15"/>
  <c r="BF151" i="15"/>
  <c r="BG151" i="15"/>
  <c r="AV149" i="15"/>
  <c r="BF149" i="15"/>
  <c r="BG149" i="15"/>
  <c r="AK149" i="15"/>
  <c r="AV147" i="15"/>
  <c r="AK147" i="15"/>
  <c r="BF147" i="15"/>
  <c r="BG147" i="15"/>
  <c r="AV146" i="15"/>
  <c r="BG146" i="15"/>
  <c r="BF146" i="15"/>
  <c r="AK146" i="15"/>
  <c r="AV145" i="15"/>
  <c r="AK145" i="15"/>
  <c r="BG145" i="15"/>
  <c r="BF145" i="15"/>
  <c r="BF141" i="15"/>
  <c r="AW141" i="15"/>
  <c r="AK144" i="15"/>
  <c r="BG144" i="15"/>
  <c r="BF140" i="15"/>
  <c r="AV143" i="15"/>
  <c r="AK143" i="15"/>
  <c r="BG143" i="15"/>
  <c r="BF143" i="15"/>
  <c r="BF139" i="15"/>
  <c r="AV142" i="15"/>
  <c r="AK142" i="15"/>
  <c r="BG142" i="15"/>
  <c r="BF142" i="15"/>
  <c r="BG138" i="15"/>
  <c r="AK138" i="15" s="1"/>
  <c r="BF138" i="15"/>
  <c r="BF144" i="15"/>
  <c r="AY138" i="15"/>
  <c r="AX138" i="15"/>
  <c r="BB138" i="15" s="1"/>
  <c r="AX152" i="15"/>
  <c r="BB152" i="15" s="1"/>
  <c r="AW152" i="15"/>
  <c r="AW150" i="15"/>
  <c r="AX150" i="15"/>
  <c r="BB150" i="15" s="1"/>
  <c r="AX148" i="15"/>
  <c r="BB148" i="15" s="1"/>
  <c r="AW148" i="15"/>
  <c r="AX145" i="15"/>
  <c r="BB145" i="15" s="1"/>
  <c r="AW145" i="15"/>
  <c r="AX141" i="15"/>
  <c r="BB141" i="15" s="1"/>
  <c r="AZ152" i="15"/>
  <c r="AU152" i="15"/>
  <c r="AZ150" i="15"/>
  <c r="AU150" i="15"/>
  <c r="AZ148" i="15"/>
  <c r="AU148" i="15"/>
  <c r="AX144" i="15"/>
  <c r="BB144" i="15" s="1"/>
  <c r="AV144" i="15" s="1"/>
  <c r="AW144" i="15"/>
  <c r="AX140" i="15"/>
  <c r="BB140" i="15" s="1"/>
  <c r="AW140" i="15"/>
  <c r="AX151" i="15"/>
  <c r="BB151" i="15" s="1"/>
  <c r="AW151" i="15"/>
  <c r="AX149" i="15"/>
  <c r="BB149" i="15" s="1"/>
  <c r="AW149" i="15"/>
  <c r="AX147" i="15"/>
  <c r="BB147" i="15" s="1"/>
  <c r="AW147" i="15"/>
  <c r="AX143" i="15"/>
  <c r="BB143" i="15" s="1"/>
  <c r="AW143" i="15"/>
  <c r="AX139" i="15"/>
  <c r="BB139" i="15" s="1"/>
  <c r="AZ151" i="15"/>
  <c r="AU151" i="15"/>
  <c r="AZ149" i="15"/>
  <c r="AU149" i="15"/>
  <c r="AZ147" i="15"/>
  <c r="AU147" i="15"/>
  <c r="AW146" i="15"/>
  <c r="AX146" i="15"/>
  <c r="BB146" i="15" s="1"/>
  <c r="AW142" i="15"/>
  <c r="AX142" i="15"/>
  <c r="BB142" i="15" s="1"/>
  <c r="AW138" i="15"/>
  <c r="AT149" i="15"/>
  <c r="AT151" i="15"/>
  <c r="AT152" i="15"/>
  <c r="AT150" i="15"/>
  <c r="AT148" i="15"/>
  <c r="AT147" i="15"/>
  <c r="AO35" i="15"/>
  <c r="BG139" i="15" l="1"/>
  <c r="AK139" i="15" s="1"/>
  <c r="AV141" i="15"/>
  <c r="AV140" i="15"/>
  <c r="AV138" i="15"/>
  <c r="AV139" i="15"/>
  <c r="BC142" i="15"/>
  <c r="BC139" i="15"/>
  <c r="BC150" i="15"/>
  <c r="BC149" i="15"/>
  <c r="BC151" i="15"/>
  <c r="BC144" i="15"/>
  <c r="BC143" i="15"/>
  <c r="BC152" i="15"/>
  <c r="BC146" i="15"/>
  <c r="BC145" i="15"/>
  <c r="BC148" i="15"/>
  <c r="BC147" i="15"/>
  <c r="BC141" i="15"/>
  <c r="BC140" i="15"/>
  <c r="BC138" i="15"/>
  <c r="BG140" i="15" l="1"/>
  <c r="BD147" i="15"/>
  <c r="BD152" i="15"/>
  <c r="BD144" i="15"/>
  <c r="BD140" i="15"/>
  <c r="BD139" i="15"/>
  <c r="BD148" i="15"/>
  <c r="BD143" i="15"/>
  <c r="BD151" i="15"/>
  <c r="BD150" i="15"/>
  <c r="BD142" i="15"/>
  <c r="BD146" i="15"/>
  <c r="BD145" i="15"/>
  <c r="BD149" i="15"/>
  <c r="BD141" i="15"/>
  <c r="BD138" i="15"/>
  <c r="T12" i="3"/>
  <c r="T38" i="3" s="1"/>
  <c r="I96" i="15"/>
  <c r="K92" i="15"/>
  <c r="Z34" i="15"/>
  <c r="O33" i="15" l="1"/>
  <c r="H46" i="15"/>
  <c r="AK140" i="15"/>
  <c r="BG141" i="15"/>
  <c r="AK141" i="15" s="1"/>
  <c r="D62" i="24"/>
  <c r="E62" i="24"/>
  <c r="AC40" i="24" s="1"/>
  <c r="C62" i="24"/>
  <c r="M30" i="15"/>
  <c r="L81" i="15"/>
  <c r="J43" i="15"/>
  <c r="L82" i="15"/>
  <c r="H80" i="15"/>
  <c r="G40" i="15"/>
  <c r="G34" i="15"/>
  <c r="H30" i="15"/>
  <c r="L80" i="15"/>
  <c r="H82" i="15"/>
  <c r="L85" i="15"/>
  <c r="J34" i="15"/>
  <c r="K28" i="15"/>
  <c r="H86" i="15"/>
  <c r="G37" i="15"/>
  <c r="J37" i="15"/>
  <c r="H78" i="15"/>
  <c r="L79" i="15"/>
  <c r="G43" i="15"/>
  <c r="J40" i="15"/>
  <c r="H75" i="15"/>
  <c r="H84" i="15"/>
  <c r="L83" i="15"/>
  <c r="AD40" i="24" l="1"/>
  <c r="Z187" i="15"/>
  <c r="AH20" i="15"/>
  <c r="AI21" i="15"/>
  <c r="AI22" i="15"/>
  <c r="AI23" i="15"/>
  <c r="AI24" i="15"/>
  <c r="AI25" i="15"/>
  <c r="AI26" i="15"/>
  <c r="AI27" i="15"/>
  <c r="AI28" i="15"/>
  <c r="AI29" i="15"/>
  <c r="AI30" i="15"/>
  <c r="AI31" i="15"/>
  <c r="AI32" i="15"/>
  <c r="AI33" i="15"/>
  <c r="AI34" i="15"/>
  <c r="M33" i="18"/>
  <c r="M44" i="18"/>
  <c r="M45" i="18"/>
  <c r="M46" i="18"/>
  <c r="M47" i="18"/>
  <c r="M48" i="18"/>
  <c r="M49" i="18"/>
  <c r="M50" i="18"/>
  <c r="J64" i="18"/>
  <c r="P33" i="18"/>
  <c r="P34" i="18"/>
  <c r="P35" i="18"/>
  <c r="P36" i="18"/>
  <c r="P37" i="18"/>
  <c r="P38" i="18"/>
  <c r="P39" i="18"/>
  <c r="P40" i="18"/>
  <c r="P41" i="18"/>
  <c r="P42" i="18"/>
  <c r="P43" i="18"/>
  <c r="P44" i="18"/>
  <c r="P45" i="18"/>
  <c r="P46" i="18"/>
  <c r="P47" i="18"/>
  <c r="P48" i="18"/>
  <c r="P49" i="18"/>
  <c r="P50" i="18"/>
  <c r="H35" i="18"/>
  <c r="J33" i="18"/>
  <c r="J34" i="18"/>
  <c r="J35" i="18"/>
  <c r="J36" i="18"/>
  <c r="J37" i="18"/>
  <c r="J38" i="18"/>
  <c r="H33" i="18"/>
  <c r="H34" i="18"/>
  <c r="H36" i="18"/>
  <c r="H37" i="18"/>
  <c r="H38" i="18"/>
  <c r="X53" i="18"/>
  <c r="X51" i="18"/>
  <c r="W31" i="18"/>
  <c r="X31" i="18"/>
  <c r="W32" i="18"/>
  <c r="X32" i="18"/>
  <c r="W33" i="18"/>
  <c r="X33" i="18"/>
  <c r="W34" i="18"/>
  <c r="X34" i="18"/>
  <c r="W35" i="18"/>
  <c r="X35" i="18"/>
  <c r="W36" i="18"/>
  <c r="X36" i="18"/>
  <c r="W37" i="18"/>
  <c r="X37" i="18"/>
  <c r="W38" i="18"/>
  <c r="X38" i="18"/>
  <c r="W39" i="18"/>
  <c r="X39" i="18"/>
  <c r="W40" i="18"/>
  <c r="X40" i="18"/>
  <c r="W41" i="18"/>
  <c r="X41" i="18"/>
  <c r="W42" i="18"/>
  <c r="X42" i="18"/>
  <c r="W43" i="18"/>
  <c r="X43" i="18"/>
  <c r="W44" i="18"/>
  <c r="X44" i="18"/>
  <c r="W45" i="18"/>
  <c r="X45" i="18"/>
  <c r="W46" i="18"/>
  <c r="X46" i="18"/>
  <c r="W47" i="18"/>
  <c r="X47" i="18"/>
  <c r="W48" i="18"/>
  <c r="X48" i="18"/>
  <c r="W49" i="18"/>
  <c r="X49" i="18"/>
  <c r="W50" i="18"/>
  <c r="X50" i="18"/>
  <c r="W51" i="18"/>
  <c r="X30" i="18"/>
  <c r="H54" i="18"/>
  <c r="H52" i="18"/>
  <c r="P52" i="18" s="1"/>
  <c r="Q52" i="18" s="1"/>
  <c r="H30" i="18"/>
  <c r="H31" i="18"/>
  <c r="H32" i="18"/>
  <c r="H39" i="18"/>
  <c r="H40" i="18"/>
  <c r="H41" i="18"/>
  <c r="H42" i="18"/>
  <c r="H43" i="18"/>
  <c r="H44" i="18"/>
  <c r="H45" i="18"/>
  <c r="H46" i="18"/>
  <c r="H47" i="18"/>
  <c r="H48" i="18"/>
  <c r="H49" i="18"/>
  <c r="H50" i="18"/>
  <c r="Q33" i="18" l="1"/>
  <c r="Q49" i="18"/>
  <c r="Q45" i="18"/>
  <c r="Q50" i="18"/>
  <c r="Q44" i="18"/>
  <c r="Q48" i="18"/>
  <c r="Q47" i="18"/>
  <c r="Q46" i="18"/>
  <c r="AO53" i="28"/>
  <c r="AO53" i="30"/>
  <c r="AO54" i="28"/>
  <c r="AO54" i="30"/>
  <c r="I59" i="18"/>
  <c r="H59" i="18"/>
  <c r="I61" i="18"/>
  <c r="G63" i="18"/>
  <c r="AJ20" i="15"/>
  <c r="E59" i="18"/>
  <c r="E12" i="3" l="1"/>
  <c r="T33" i="3"/>
  <c r="T32" i="3"/>
  <c r="AF35" i="28" l="1"/>
  <c r="AF35" i="30"/>
  <c r="T34" i="3"/>
  <c r="V34" i="2"/>
  <c r="V35" i="2" l="1"/>
  <c r="V44" i="2"/>
  <c r="V60" i="2"/>
  <c r="V64" i="2"/>
  <c r="V68" i="2"/>
  <c r="V72" i="2"/>
  <c r="V61" i="2"/>
  <c r="V65" i="2"/>
  <c r="V69" i="2"/>
  <c r="V59" i="2"/>
  <c r="V62" i="2"/>
  <c r="V66" i="2"/>
  <c r="V70" i="2"/>
  <c r="V67" i="2"/>
  <c r="V71" i="2"/>
  <c r="V63" i="2"/>
  <c r="V36" i="2"/>
  <c r="V40" i="2"/>
  <c r="V48" i="2"/>
  <c r="V37" i="2"/>
  <c r="V41" i="2"/>
  <c r="V45" i="2"/>
  <c r="V49" i="2"/>
  <c r="V38" i="2"/>
  <c r="V42" i="2"/>
  <c r="V46" i="2"/>
  <c r="V39" i="2"/>
  <c r="V43" i="2"/>
  <c r="V47" i="2"/>
  <c r="Z157" i="15"/>
  <c r="Z159" i="15"/>
  <c r="Z32" i="1" l="1"/>
  <c r="AA50" i="1"/>
  <c r="Z50" i="1"/>
  <c r="F62" i="24" l="1"/>
  <c r="J60" i="24"/>
  <c r="H62" i="24"/>
  <c r="J57" i="24"/>
  <c r="J58" i="24"/>
  <c r="J59" i="24"/>
  <c r="J62" i="24" l="1"/>
  <c r="O23" i="24" s="1"/>
  <c r="Z182" i="15"/>
  <c r="H23" i="24" l="1"/>
  <c r="X118" i="28"/>
  <c r="L24" i="5"/>
  <c r="T41" i="29"/>
  <c r="T40" i="29"/>
  <c r="T39" i="29"/>
  <c r="T19" i="29"/>
  <c r="T18" i="29"/>
  <c r="T17" i="29"/>
  <c r="U41" i="5"/>
  <c r="U40" i="5"/>
  <c r="U39" i="5"/>
  <c r="U18" i="5"/>
  <c r="U19" i="5"/>
  <c r="T44" i="3"/>
  <c r="T51" i="3"/>
  <c r="AI55" i="2" l="1"/>
  <c r="AR140" i="15" l="1"/>
  <c r="AE43" i="29"/>
  <c r="AC43" i="29"/>
  <c r="AB43" i="29"/>
  <c r="AA43" i="29"/>
  <c r="AE42" i="29"/>
  <c r="AC42" i="29"/>
  <c r="AB42" i="29"/>
  <c r="AA42" i="29"/>
  <c r="AE41" i="29"/>
  <c r="AC41" i="29"/>
  <c r="AB41" i="29"/>
  <c r="AA41" i="29"/>
  <c r="AE40" i="29"/>
  <c r="AC40" i="29"/>
  <c r="AB40" i="29"/>
  <c r="AA40" i="29"/>
  <c r="AE39" i="29"/>
  <c r="AC39" i="29"/>
  <c r="AB39" i="29"/>
  <c r="AA39" i="29"/>
  <c r="AE38" i="29"/>
  <c r="AC38" i="29"/>
  <c r="AB38" i="29"/>
  <c r="AA38" i="29"/>
  <c r="AE37" i="29"/>
  <c r="AC37" i="29"/>
  <c r="AB37" i="29"/>
  <c r="AA37" i="29"/>
  <c r="AE36" i="29"/>
  <c r="AC36" i="29"/>
  <c r="AB36" i="29"/>
  <c r="AA36" i="29"/>
  <c r="AE35" i="29"/>
  <c r="AC35" i="29"/>
  <c r="AB35" i="29"/>
  <c r="AA35" i="29"/>
  <c r="AE34" i="29"/>
  <c r="AC34" i="29"/>
  <c r="AB34" i="29"/>
  <c r="AA34" i="29"/>
  <c r="AE33" i="29"/>
  <c r="AB33" i="29"/>
  <c r="AF33" i="29" s="1"/>
  <c r="AA33" i="29"/>
  <c r="AE32" i="29"/>
  <c r="AC32" i="29"/>
  <c r="AB32" i="29"/>
  <c r="AA32" i="29"/>
  <c r="AE31" i="29"/>
  <c r="AC31" i="29"/>
  <c r="AB31" i="29"/>
  <c r="AA31" i="29"/>
  <c r="AE30" i="29"/>
  <c r="AK30" i="29" s="1"/>
  <c r="AC30" i="29"/>
  <c r="AB30" i="29"/>
  <c r="AA30" i="29"/>
  <c r="AE29" i="29"/>
  <c r="AK29" i="29" s="1"/>
  <c r="AC29" i="29"/>
  <c r="AB29" i="29"/>
  <c r="AA29" i="29"/>
  <c r="AF29" i="29" l="1"/>
  <c r="AF30" i="29"/>
  <c r="AF31" i="29"/>
  <c r="AF32" i="29"/>
  <c r="AF34" i="29"/>
  <c r="AF35" i="29"/>
  <c r="AF36" i="29"/>
  <c r="AF37" i="29"/>
  <c r="AF38" i="29"/>
  <c r="AF39" i="29"/>
  <c r="AF40" i="29"/>
  <c r="AF41" i="29"/>
  <c r="AF42" i="29"/>
  <c r="AF43" i="29"/>
  <c r="AQ33" i="29"/>
  <c r="AN33" i="29"/>
  <c r="AW33" i="29"/>
  <c r="AK33" i="29"/>
  <c r="AW34" i="29"/>
  <c r="AQ34" i="29"/>
  <c r="AN34" i="29"/>
  <c r="AK34" i="29"/>
  <c r="AQ35" i="29"/>
  <c r="AW35" i="29"/>
  <c r="AN35" i="29"/>
  <c r="AK35" i="29"/>
  <c r="AQ36" i="29"/>
  <c r="AN36" i="29"/>
  <c r="AW36" i="29"/>
  <c r="AK36" i="29"/>
  <c r="AQ37" i="29"/>
  <c r="AN37" i="29"/>
  <c r="AW37" i="29"/>
  <c r="AK37" i="29"/>
  <c r="AW38" i="29"/>
  <c r="AQ38" i="29"/>
  <c r="AN38" i="29"/>
  <c r="AK38" i="29"/>
  <c r="AQ39" i="29"/>
  <c r="AW39" i="29"/>
  <c r="AN39" i="29"/>
  <c r="AK39" i="29"/>
  <c r="AQ40" i="29"/>
  <c r="AN40" i="29"/>
  <c r="AW40" i="29"/>
  <c r="AK40" i="29"/>
  <c r="AQ41" i="29"/>
  <c r="AN41" i="29"/>
  <c r="AW41" i="29"/>
  <c r="AK41" i="29"/>
  <c r="AQ42" i="29"/>
  <c r="AW42" i="29"/>
  <c r="AN42" i="29"/>
  <c r="AK42" i="29"/>
  <c r="AQ43" i="29"/>
  <c r="AN43" i="29"/>
  <c r="AW43" i="29"/>
  <c r="AK43" i="29"/>
  <c r="AQ31" i="29"/>
  <c r="AW31" i="29"/>
  <c r="AN31" i="29"/>
  <c r="AK31" i="29"/>
  <c r="AQ32" i="29"/>
  <c r="AN32" i="29"/>
  <c r="AW32" i="29"/>
  <c r="AK32" i="29"/>
  <c r="AQ30" i="29"/>
  <c r="AN30" i="29"/>
  <c r="AU30" i="29" s="1"/>
  <c r="AW30" i="29"/>
  <c r="AT29" i="29"/>
  <c r="AN29" i="29"/>
  <c r="AW29" i="29"/>
  <c r="AQ29" i="29"/>
  <c r="AR29" i="29"/>
  <c r="AU29" i="29"/>
  <c r="AH29" i="29"/>
  <c r="AH31" i="29"/>
  <c r="AI31" i="29"/>
  <c r="AO29" i="29"/>
  <c r="AH30" i="29"/>
  <c r="AR30" i="29"/>
  <c r="AI30" i="29"/>
  <c r="AR32" i="29"/>
  <c r="AH32" i="29"/>
  <c r="AI32" i="29"/>
  <c r="AH33" i="29"/>
  <c r="AI33" i="29"/>
  <c r="AR33" i="29"/>
  <c r="AH34" i="29"/>
  <c r="AR34" i="29"/>
  <c r="AI34" i="29"/>
  <c r="AR35" i="29"/>
  <c r="AH35" i="29"/>
  <c r="AR36" i="29"/>
  <c r="AH36" i="29"/>
  <c r="AI36" i="29"/>
  <c r="AH37" i="29"/>
  <c r="AI37" i="29"/>
  <c r="AR37" i="29"/>
  <c r="AH38" i="29"/>
  <c r="AR38" i="29"/>
  <c r="AI38" i="29"/>
  <c r="AR39" i="29"/>
  <c r="AH39" i="29"/>
  <c r="AI39" i="29"/>
  <c r="AR40" i="29"/>
  <c r="AH40" i="29"/>
  <c r="AI40" i="29"/>
  <c r="AH41" i="29"/>
  <c r="AI41" i="29"/>
  <c r="AR41" i="29"/>
  <c r="AH42" i="29"/>
  <c r="AR42" i="29"/>
  <c r="AI42" i="29"/>
  <c r="AR43" i="29"/>
  <c r="AH43" i="29"/>
  <c r="AI43" i="29"/>
  <c r="AO35" i="29"/>
  <c r="AU35" i="29"/>
  <c r="AU36" i="29"/>
  <c r="AO36" i="29"/>
  <c r="AO37" i="29"/>
  <c r="AU37" i="29"/>
  <c r="AU38" i="29"/>
  <c r="AO38" i="29"/>
  <c r="AO39" i="29"/>
  <c r="AU39" i="29"/>
  <c r="AU40" i="29"/>
  <c r="AO40" i="29"/>
  <c r="AO41" i="29"/>
  <c r="AU41" i="29"/>
  <c r="AU42" i="29"/>
  <c r="AO42" i="29"/>
  <c r="AO43" i="29"/>
  <c r="AU43" i="29"/>
  <c r="AO34" i="29"/>
  <c r="AU34" i="29"/>
  <c r="AU33" i="29"/>
  <c r="AO33" i="29"/>
  <c r="AO32" i="29"/>
  <c r="AU32" i="29"/>
  <c r="AU31" i="29"/>
  <c r="AO30" i="29"/>
  <c r="AT140" i="15"/>
  <c r="AZ140" i="15"/>
  <c r="AU140" i="15"/>
  <c r="AT33" i="29"/>
  <c r="AZ38" i="29"/>
  <c r="AX38" i="29"/>
  <c r="AX39" i="29"/>
  <c r="AZ39" i="29"/>
  <c r="AX40" i="29"/>
  <c r="AZ40" i="29"/>
  <c r="AZ41" i="29"/>
  <c r="AX41" i="29"/>
  <c r="AZ42" i="29"/>
  <c r="AX42" i="29"/>
  <c r="AZ43" i="29"/>
  <c r="AX43" i="29"/>
  <c r="AZ37" i="29"/>
  <c r="AX37" i="29"/>
  <c r="AZ29" i="29"/>
  <c r="AZ36" i="29"/>
  <c r="AX36" i="29"/>
  <c r="AZ30" i="29"/>
  <c r="AT30" i="29"/>
  <c r="AZ31" i="29"/>
  <c r="AX31" i="29"/>
  <c r="AX32" i="29"/>
  <c r="AZ32" i="29"/>
  <c r="AX35" i="29"/>
  <c r="AZ33" i="29"/>
  <c r="AZ35" i="29"/>
  <c r="AR144" i="15"/>
  <c r="AZ34" i="29"/>
  <c r="AR142" i="15"/>
  <c r="AR145" i="15"/>
  <c r="AR143" i="15"/>
  <c r="AR141" i="15"/>
  <c r="AR139" i="15"/>
  <c r="AR146" i="15"/>
  <c r="AT36" i="29"/>
  <c r="AT37" i="29"/>
  <c r="AT40" i="29"/>
  <c r="AT41" i="29"/>
  <c r="AT43" i="29"/>
  <c r="AT39" i="29"/>
  <c r="AT35" i="29"/>
  <c r="AT42" i="29"/>
  <c r="AT38" i="29"/>
  <c r="AT34" i="29"/>
  <c r="AO31" i="29"/>
  <c r="AT32" i="29"/>
  <c r="AT31" i="29"/>
  <c r="U66" i="3"/>
  <c r="V66" i="3" s="1"/>
  <c r="AE60" i="2"/>
  <c r="AE61" i="2"/>
  <c r="AE62" i="2"/>
  <c r="AE63" i="2"/>
  <c r="AE64" i="2"/>
  <c r="AE65" i="2"/>
  <c r="AE66" i="2"/>
  <c r="AE67" i="2"/>
  <c r="AE68" i="2"/>
  <c r="AE69" i="2"/>
  <c r="AE70" i="2"/>
  <c r="AE71" i="2"/>
  <c r="AE72" i="2"/>
  <c r="AI35" i="29" l="1"/>
  <c r="AR31" i="29"/>
  <c r="AS29" i="29" s="1"/>
  <c r="AI29" i="29"/>
  <c r="T77" i="3"/>
  <c r="AV29" i="29"/>
  <c r="AX29" i="29"/>
  <c r="AV31" i="29"/>
  <c r="AV35" i="29"/>
  <c r="AV39" i="29"/>
  <c r="AV43" i="29"/>
  <c r="AV32" i="29"/>
  <c r="AV36" i="29"/>
  <c r="AV40" i="29"/>
  <c r="AV33" i="29"/>
  <c r="AV37" i="29"/>
  <c r="AV41" i="29"/>
  <c r="AV30" i="29"/>
  <c r="AV34" i="29"/>
  <c r="AV38" i="29"/>
  <c r="AV42" i="29"/>
  <c r="AT146" i="15"/>
  <c r="AZ146" i="15"/>
  <c r="AU146" i="15"/>
  <c r="AZ142" i="15"/>
  <c r="AU142" i="15"/>
  <c r="AT141" i="15"/>
  <c r="AZ141" i="15"/>
  <c r="AU141" i="15"/>
  <c r="AT143" i="15"/>
  <c r="AZ143" i="15"/>
  <c r="AU143" i="15"/>
  <c r="AZ145" i="15"/>
  <c r="AU145" i="15"/>
  <c r="AZ144" i="15"/>
  <c r="AU144" i="15"/>
  <c r="AT139" i="15"/>
  <c r="AZ139" i="15"/>
  <c r="AU139" i="15"/>
  <c r="AX34" i="29"/>
  <c r="AX30" i="29"/>
  <c r="AX33" i="29"/>
  <c r="AT144" i="15"/>
  <c r="AT142" i="15"/>
  <c r="AT145" i="15"/>
  <c r="AJ29" i="29" l="1"/>
  <c r="AP29" i="29"/>
  <c r="AY29" i="29"/>
  <c r="X29" i="29" s="1"/>
  <c r="O20" i="15"/>
  <c r="Z12" i="3"/>
  <c r="AG30" i="29" l="1"/>
  <c r="Z30" i="29" s="1"/>
  <c r="AG34" i="29"/>
  <c r="AG38" i="29"/>
  <c r="AG42" i="29"/>
  <c r="AG29" i="29"/>
  <c r="AG33" i="29"/>
  <c r="AG37" i="29"/>
  <c r="AG41" i="29"/>
  <c r="AG32" i="29"/>
  <c r="AG40" i="29"/>
  <c r="AG31" i="29"/>
  <c r="AG43" i="29"/>
  <c r="AG36" i="29"/>
  <c r="AG35" i="29"/>
  <c r="AG39" i="29"/>
  <c r="X33" i="29"/>
  <c r="X30" i="29"/>
  <c r="X34" i="29"/>
  <c r="X42" i="29"/>
  <c r="X35" i="29"/>
  <c r="X36" i="29"/>
  <c r="X41" i="29"/>
  <c r="X38" i="29"/>
  <c r="X31" i="29"/>
  <c r="X37" i="29"/>
  <c r="X39" i="29"/>
  <c r="X40" i="29"/>
  <c r="X32" i="29"/>
  <c r="X43" i="29"/>
  <c r="AP38" i="29"/>
  <c r="Y38" i="29" s="1"/>
  <c r="AP32" i="29"/>
  <c r="Y32" i="29" s="1"/>
  <c r="AP33" i="29"/>
  <c r="Y33" i="29" s="1"/>
  <c r="AP37" i="29"/>
  <c r="Y37" i="29" s="1"/>
  <c r="AP41" i="29"/>
  <c r="Y41" i="29" s="1"/>
  <c r="AP34" i="29"/>
  <c r="Y34" i="29" s="1"/>
  <c r="AP42" i="29"/>
  <c r="Y42" i="29" s="1"/>
  <c r="AP31" i="29"/>
  <c r="Y31" i="29" s="1"/>
  <c r="AP35" i="29"/>
  <c r="Y35" i="29" s="1"/>
  <c r="AP39" i="29"/>
  <c r="Y39" i="29" s="1"/>
  <c r="AP43" i="29"/>
  <c r="Y43" i="29" s="1"/>
  <c r="AP36" i="29"/>
  <c r="Y36" i="29" s="1"/>
  <c r="AP40" i="29"/>
  <c r="Y40" i="29" s="1"/>
  <c r="AP30" i="29"/>
  <c r="Y30" i="29" s="1"/>
  <c r="Y29" i="29"/>
  <c r="X44" i="29" l="1"/>
  <c r="D61" i="29" s="1"/>
  <c r="AC52" i="29" s="1"/>
  <c r="AE52" i="29" s="1"/>
  <c r="AD52" i="5"/>
  <c r="AF52" i="5" s="1"/>
  <c r="Z31" i="29"/>
  <c r="Z42" i="29"/>
  <c r="Z38" i="29"/>
  <c r="Z33" i="29"/>
  <c r="Z32" i="29"/>
  <c r="Z43" i="29"/>
  <c r="Z37" i="29"/>
  <c r="Z36" i="29"/>
  <c r="Z35" i="29"/>
  <c r="Z29" i="29"/>
  <c r="Z34" i="29"/>
  <c r="Z41" i="29"/>
  <c r="Z40" i="29"/>
  <c r="Z39" i="29"/>
  <c r="Y44" i="29"/>
  <c r="U13" i="3"/>
  <c r="H14" i="3"/>
  <c r="D52" i="29" l="1"/>
  <c r="D53" i="29"/>
  <c r="Y53" i="29" s="1"/>
  <c r="AA53" i="29" s="1"/>
  <c r="T61" i="29"/>
  <c r="C13" i="3"/>
  <c r="D63" i="29"/>
  <c r="D62" i="29"/>
  <c r="D65" i="29"/>
  <c r="D64" i="29"/>
  <c r="D64" i="5"/>
  <c r="S60" i="5"/>
  <c r="D63" i="5"/>
  <c r="D62" i="5"/>
  <c r="D61" i="5"/>
  <c r="W13" i="3"/>
  <c r="D56" i="29"/>
  <c r="D55" i="29"/>
  <c r="D54" i="29"/>
  <c r="Z44" i="29"/>
  <c r="K46" i="29" s="1"/>
  <c r="D11" i="22"/>
  <c r="C14" i="22" l="1"/>
  <c r="B18" i="22"/>
  <c r="C20" i="22"/>
  <c r="C16" i="22"/>
  <c r="D50" i="5"/>
  <c r="D46" i="5"/>
  <c r="D49" i="5"/>
  <c r="D48" i="5"/>
  <c r="D47" i="5"/>
  <c r="U46" i="5"/>
  <c r="T53" i="29"/>
  <c r="T65" i="29"/>
  <c r="AC56" i="29"/>
  <c r="AE56" i="29" s="1"/>
  <c r="T62" i="29"/>
  <c r="AC53" i="29"/>
  <c r="AE53" i="29" s="1"/>
  <c r="T63" i="29"/>
  <c r="AC54" i="29"/>
  <c r="AE54" i="29" s="1"/>
  <c r="T64" i="29"/>
  <c r="AC55" i="29"/>
  <c r="AE55" i="29" s="1"/>
  <c r="T54" i="29"/>
  <c r="Y54" i="29"/>
  <c r="AA54" i="29" s="1"/>
  <c r="T55" i="29"/>
  <c r="Y55" i="29"/>
  <c r="AA55" i="29" s="1"/>
  <c r="T56" i="29"/>
  <c r="Y56" i="29"/>
  <c r="AA56" i="29" s="1"/>
  <c r="T52" i="29"/>
  <c r="Y52" i="29"/>
  <c r="AA52" i="29" s="1"/>
  <c r="S61" i="5"/>
  <c r="AD53" i="5"/>
  <c r="AF53" i="5" s="1"/>
  <c r="S64" i="5"/>
  <c r="AD56" i="5"/>
  <c r="AF56" i="5" s="1"/>
  <c r="S63" i="5"/>
  <c r="AD55" i="5"/>
  <c r="AF55" i="5" s="1"/>
  <c r="S62" i="5"/>
  <c r="AD54" i="5"/>
  <c r="AF54" i="5" s="1"/>
  <c r="E14" i="3"/>
  <c r="AG35" i="30"/>
  <c r="AG35" i="28"/>
  <c r="AB31" i="28" s="1"/>
  <c r="K50" i="29"/>
  <c r="L50" i="29" s="1"/>
  <c r="M50" i="29" s="1"/>
  <c r="N50" i="29" s="1"/>
  <c r="O50" i="29" s="1"/>
  <c r="P50" i="29" s="1"/>
  <c r="Q50" i="29" s="1"/>
  <c r="K49" i="29"/>
  <c r="L49" i="29" s="1"/>
  <c r="M49" i="29" s="1"/>
  <c r="N49" i="29" s="1"/>
  <c r="O49" i="29" s="1"/>
  <c r="P49" i="29" s="1"/>
  <c r="Q49" i="29" s="1"/>
  <c r="K48" i="29"/>
  <c r="L48" i="29" s="1"/>
  <c r="M48" i="29" s="1"/>
  <c r="N48" i="29" s="1"/>
  <c r="O48" i="29" s="1"/>
  <c r="P48" i="29" s="1"/>
  <c r="Q48" i="29" s="1"/>
  <c r="K47" i="29"/>
  <c r="D53" i="5"/>
  <c r="D52" i="5"/>
  <c r="D49" i="29"/>
  <c r="D54" i="5"/>
  <c r="D55" i="5"/>
  <c r="D56" i="5"/>
  <c r="D47" i="29"/>
  <c r="D50" i="29"/>
  <c r="D46" i="29"/>
  <c r="D48" i="29"/>
  <c r="K46" i="5"/>
  <c r="K49" i="5"/>
  <c r="K50" i="5"/>
  <c r="K47" i="5"/>
  <c r="K48" i="5"/>
  <c r="AE152" i="28"/>
  <c r="AB151" i="28" s="1"/>
  <c r="X151" i="28" s="1"/>
  <c r="AE151" i="28"/>
  <c r="AB150" i="28" s="1"/>
  <c r="X150" i="28" s="1"/>
  <c r="AE150" i="28"/>
  <c r="AE149" i="28"/>
  <c r="AB148" i="28" s="1"/>
  <c r="X148" i="28" s="1"/>
  <c r="X147" i="28"/>
  <c r="Z36" i="30" l="1"/>
  <c r="X36" i="30" s="1"/>
  <c r="AA58" i="29"/>
  <c r="AE87" i="30" s="1"/>
  <c r="T67" i="29"/>
  <c r="K60" i="29" s="1"/>
  <c r="S66" i="5"/>
  <c r="K59" i="5" s="1"/>
  <c r="T58" i="29"/>
  <c r="K51" i="29" s="1"/>
  <c r="AE58" i="29"/>
  <c r="AF87" i="30" s="1"/>
  <c r="S55" i="5"/>
  <c r="Z55" i="5"/>
  <c r="AB55" i="5" s="1"/>
  <c r="S53" i="5"/>
  <c r="Z53" i="5"/>
  <c r="AB53" i="5" s="1"/>
  <c r="S54" i="5"/>
  <c r="Z54" i="5"/>
  <c r="AB54" i="5" s="1"/>
  <c r="AF58" i="5"/>
  <c r="S56" i="5"/>
  <c r="Z56" i="5"/>
  <c r="AB56" i="5" s="1"/>
  <c r="S52" i="5"/>
  <c r="Z52" i="5"/>
  <c r="AB52" i="5" s="1"/>
  <c r="AB149" i="28"/>
  <c r="X149" i="28" s="1"/>
  <c r="L47" i="29"/>
  <c r="M47" i="29" s="1"/>
  <c r="N47" i="29" s="1"/>
  <c r="O47" i="29" s="1"/>
  <c r="P47" i="29" s="1"/>
  <c r="Q47" i="29" s="1"/>
  <c r="L84" i="15"/>
  <c r="L46" i="29"/>
  <c r="B82" i="28"/>
  <c r="AB75" i="28"/>
  <c r="AH22" i="15"/>
  <c r="AG20" i="15"/>
  <c r="AG30" i="15"/>
  <c r="D59" i="18"/>
  <c r="C20" i="24"/>
  <c r="Z97" i="30" l="1"/>
  <c r="X97" i="30" s="1"/>
  <c r="Z96" i="30"/>
  <c r="X96" i="30" s="1"/>
  <c r="W96" i="30" s="1"/>
  <c r="AF68" i="30"/>
  <c r="Z78" i="30" s="1"/>
  <c r="AB58" i="5"/>
  <c r="S58" i="5"/>
  <c r="K51" i="5" s="1"/>
  <c r="M46" i="29"/>
  <c r="K15" i="24"/>
  <c r="W97" i="30" l="1"/>
  <c r="N15" i="24"/>
  <c r="O15" i="24"/>
  <c r="P15" i="24" s="1"/>
  <c r="M15" i="24"/>
  <c r="AG70" i="24" s="1"/>
  <c r="K14" i="24"/>
  <c r="X78" i="30"/>
  <c r="AE68" i="30"/>
  <c r="Z77" i="30" s="1"/>
  <c r="AE71" i="24"/>
  <c r="K17" i="24" s="1"/>
  <c r="AE70" i="24"/>
  <c r="K16" i="24" s="1"/>
  <c r="N46" i="29"/>
  <c r="I15" i="24"/>
  <c r="K18" i="24"/>
  <c r="J15" i="24"/>
  <c r="H15" i="24"/>
  <c r="L15" i="24"/>
  <c r="M16" i="24" l="1"/>
  <c r="Q15" i="24"/>
  <c r="O14" i="24"/>
  <c r="Q14" i="24" s="1"/>
  <c r="M14" i="24"/>
  <c r="N14" i="24"/>
  <c r="L14" i="24"/>
  <c r="H14" i="24"/>
  <c r="J14" i="24"/>
  <c r="M18" i="24"/>
  <c r="O18" i="24"/>
  <c r="Q18" i="24" s="1"/>
  <c r="N18" i="24"/>
  <c r="O29" i="24"/>
  <c r="L18" i="24"/>
  <c r="X77" i="30"/>
  <c r="AB71" i="24"/>
  <c r="H17" i="24" s="1"/>
  <c r="AB70" i="24"/>
  <c r="H16" i="24" s="1"/>
  <c r="AG71" i="24"/>
  <c r="M17" i="24" s="1"/>
  <c r="AD71" i="24"/>
  <c r="J17" i="24" s="1"/>
  <c r="AD70" i="24"/>
  <c r="J16" i="24" s="1"/>
  <c r="AH70" i="24"/>
  <c r="N16" i="24" s="1"/>
  <c r="AH71" i="24"/>
  <c r="N17" i="24" s="1"/>
  <c r="AI71" i="24"/>
  <c r="O17" i="24" s="1"/>
  <c r="P17" i="24" s="1"/>
  <c r="AI70" i="24"/>
  <c r="O16" i="24" s="1"/>
  <c r="P16" i="24" s="1"/>
  <c r="AF70" i="24"/>
  <c r="L16" i="24" s="1"/>
  <c r="AF71" i="24"/>
  <c r="L17" i="24" s="1"/>
  <c r="AC70" i="24"/>
  <c r="I16" i="24" s="1"/>
  <c r="AC71" i="24"/>
  <c r="I17" i="24" s="1"/>
  <c r="O28" i="24"/>
  <c r="H18" i="24"/>
  <c r="O31" i="24"/>
  <c r="J18" i="24"/>
  <c r="O46" i="29"/>
  <c r="I18" i="24"/>
  <c r="I14" i="24"/>
  <c r="P18" i="24" l="1"/>
  <c r="P14" i="24"/>
  <c r="Q16" i="24"/>
  <c r="Q17" i="24"/>
  <c r="W77" i="30"/>
  <c r="W78" i="30" s="1"/>
  <c r="P46" i="29"/>
  <c r="V14" i="18"/>
  <c r="X14" i="34" s="1"/>
  <c r="B63" i="28"/>
  <c r="AE189" i="28"/>
  <c r="S8" i="1"/>
  <c r="W45" i="1"/>
  <c r="W44" i="1"/>
  <c r="B48" i="28"/>
  <c r="Q46" i="29" l="1"/>
  <c r="B19" i="18"/>
  <c r="T8" i="1"/>
  <c r="M15" i="18"/>
  <c r="E20" i="34" s="1"/>
  <c r="I10" i="35" s="1"/>
  <c r="Z45" i="1"/>
  <c r="B130" i="28" s="1"/>
  <c r="Y44" i="1"/>
  <c r="Y16" i="2"/>
  <c r="X61" i="18"/>
  <c r="AJ17" i="2"/>
  <c r="I17" i="35" l="1"/>
  <c r="I14" i="35"/>
  <c r="I15" i="35"/>
  <c r="I13" i="35"/>
  <c r="I16" i="35"/>
  <c r="AB141" i="30"/>
  <c r="B150" i="28"/>
  <c r="AB180" i="28" s="1"/>
  <c r="Y18" i="2"/>
  <c r="M18" i="18"/>
  <c r="M14" i="18"/>
  <c r="AF111" i="15"/>
  <c r="AG111" i="15" s="1"/>
  <c r="AI35" i="15"/>
  <c r="K14" i="35" l="1"/>
  <c r="F14" i="35"/>
  <c r="L14" i="35"/>
  <c r="J14" i="35"/>
  <c r="M14" i="35"/>
  <c r="G14" i="35"/>
  <c r="H14" i="35"/>
  <c r="M16" i="35"/>
  <c r="K16" i="35"/>
  <c r="J16" i="35"/>
  <c r="L16" i="35"/>
  <c r="F16" i="35"/>
  <c r="G16" i="35"/>
  <c r="H16" i="35"/>
  <c r="H13" i="35"/>
  <c r="J13" i="35"/>
  <c r="L13" i="35"/>
  <c r="G13" i="35"/>
  <c r="M13" i="35"/>
  <c r="K13" i="35"/>
  <c r="F13" i="35"/>
  <c r="H15" i="35"/>
  <c r="M15" i="35"/>
  <c r="K15" i="35"/>
  <c r="F15" i="35"/>
  <c r="G15" i="35"/>
  <c r="J15" i="35"/>
  <c r="L15" i="35"/>
  <c r="J17" i="35"/>
  <c r="L17" i="35"/>
  <c r="M17" i="35"/>
  <c r="K17" i="35"/>
  <c r="H17" i="35"/>
  <c r="F17" i="35"/>
  <c r="G17" i="35"/>
  <c r="Z164" i="30"/>
  <c r="X164" i="30" s="1"/>
  <c r="Z160" i="30"/>
  <c r="X160" i="30" s="1"/>
  <c r="Z163" i="30"/>
  <c r="X163" i="30" s="1"/>
  <c r="Z159" i="30"/>
  <c r="X159" i="30" s="1"/>
  <c r="Z167" i="30"/>
  <c r="X167" i="30" s="1"/>
  <c r="Z166" i="30"/>
  <c r="X166" i="30" s="1"/>
  <c r="Z162" i="30"/>
  <c r="X162" i="30" s="1"/>
  <c r="Z158" i="30"/>
  <c r="X158" i="30" s="1"/>
  <c r="Z165" i="30"/>
  <c r="X165" i="30" s="1"/>
  <c r="Z161" i="30"/>
  <c r="X161" i="30" s="1"/>
  <c r="Z157" i="30"/>
  <c r="X157" i="30" s="1"/>
  <c r="J14" i="18"/>
  <c r="L29" i="18" s="1"/>
  <c r="AB184" i="28"/>
  <c r="AB176" i="28"/>
  <c r="X176" i="28" s="1"/>
  <c r="W176" i="28" s="1"/>
  <c r="V176" i="28" s="1"/>
  <c r="AB186" i="28"/>
  <c r="AB178" i="28"/>
  <c r="X178" i="28" s="1"/>
  <c r="AB181" i="28"/>
  <c r="AB183" i="28"/>
  <c r="AB177" i="28"/>
  <c r="X177" i="28" s="1"/>
  <c r="AB182" i="28"/>
  <c r="AB179" i="28"/>
  <c r="AB185" i="28"/>
  <c r="M36" i="18"/>
  <c r="Q36" i="18" s="1"/>
  <c r="M35" i="18"/>
  <c r="Q35" i="18" s="1"/>
  <c r="L14" i="18"/>
  <c r="M34" i="18"/>
  <c r="Q34" i="18" s="1"/>
  <c r="M38" i="18"/>
  <c r="Q38" i="18" s="1"/>
  <c r="M37" i="18"/>
  <c r="Q37" i="18" s="1"/>
  <c r="X119" i="28"/>
  <c r="Z28" i="15"/>
  <c r="W177" i="28" l="1"/>
  <c r="V177" i="28" s="1"/>
  <c r="X179" i="28"/>
  <c r="W178" i="28" l="1"/>
  <c r="V178" i="28" s="1"/>
  <c r="X180" i="28"/>
  <c r="W179" i="28" l="1"/>
  <c r="V179" i="28" s="1"/>
  <c r="W180" i="28"/>
  <c r="V180" i="28" s="1"/>
  <c r="X181" i="28"/>
  <c r="X182" i="28" l="1"/>
  <c r="W181" i="28"/>
  <c r="V181" i="28" s="1"/>
  <c r="X183" i="28" l="1"/>
  <c r="W182" i="28"/>
  <c r="V182" i="28" s="1"/>
  <c r="X184" i="28" l="1"/>
  <c r="W183" i="28"/>
  <c r="V183" i="28" s="1"/>
  <c r="X185" i="28" l="1"/>
  <c r="W184" i="28"/>
  <c r="V184" i="28" s="1"/>
  <c r="X186" i="28" l="1"/>
  <c r="W185" i="28"/>
  <c r="V185" i="28" s="1"/>
  <c r="W186" i="28" l="1"/>
  <c r="V186" i="28" s="1"/>
  <c r="AJ27" i="2" l="1"/>
  <c r="F57" i="2"/>
  <c r="O194" i="15"/>
  <c r="AB40" i="28" l="1"/>
  <c r="X40" i="28" s="1"/>
  <c r="Z45" i="30"/>
  <c r="X45" i="30" s="1"/>
  <c r="O27" i="1"/>
  <c r="AC59" i="2"/>
  <c r="AB60" i="2" l="1"/>
  <c r="AB64" i="2"/>
  <c r="AB68" i="2"/>
  <c r="AB72" i="2"/>
  <c r="AB61" i="2"/>
  <c r="AB65" i="2"/>
  <c r="AB69" i="2"/>
  <c r="AB59" i="2"/>
  <c r="AB62" i="2"/>
  <c r="AB66" i="2"/>
  <c r="AB70" i="2"/>
  <c r="AB63" i="2"/>
  <c r="AB67" i="2"/>
  <c r="AB71" i="2"/>
  <c r="AA67" i="2"/>
  <c r="AA62" i="2"/>
  <c r="AA66" i="2"/>
  <c r="AA71" i="2"/>
  <c r="AA63" i="2"/>
  <c r="AA72" i="2"/>
  <c r="AA68" i="2"/>
  <c r="AA60" i="2"/>
  <c r="AA64" i="2"/>
  <c r="AA69" i="2"/>
  <c r="AA59" i="2"/>
  <c r="AA61" i="2"/>
  <c r="AA65" i="2"/>
  <c r="AA70" i="2"/>
  <c r="AL17" i="2"/>
  <c r="AE59" i="2"/>
  <c r="AC62" i="2"/>
  <c r="AC66" i="2"/>
  <c r="AC70" i="2"/>
  <c r="AC61" i="2"/>
  <c r="AC65" i="2"/>
  <c r="AC69" i="2"/>
  <c r="AC60" i="2"/>
  <c r="AC64" i="2"/>
  <c r="AC68" i="2"/>
  <c r="AC72" i="2"/>
  <c r="AC63" i="2"/>
  <c r="AC67" i="2"/>
  <c r="AC71" i="2"/>
  <c r="AD66" i="2" l="1"/>
  <c r="AD63" i="2"/>
  <c r="AD72" i="2"/>
  <c r="AD65" i="2"/>
  <c r="AD61" i="2"/>
  <c r="AD60" i="2"/>
  <c r="AD67" i="2"/>
  <c r="AD64" i="2"/>
  <c r="AD70" i="2"/>
  <c r="AD71" i="2"/>
  <c r="AD69" i="2"/>
  <c r="AD62" i="2"/>
  <c r="AD68" i="2"/>
  <c r="AD59" i="2"/>
  <c r="D20" i="1"/>
  <c r="AC19" i="2" l="1"/>
  <c r="AB20" i="2"/>
  <c r="AC20" i="2"/>
  <c r="AB21" i="2"/>
  <c r="AC21" i="2"/>
  <c r="AB22" i="2"/>
  <c r="AC22" i="2"/>
  <c r="AB23" i="2"/>
  <c r="AC23" i="2"/>
  <c r="AB24" i="2"/>
  <c r="AC24" i="2"/>
  <c r="AB25" i="2"/>
  <c r="AC25" i="2"/>
  <c r="AB26" i="2"/>
  <c r="AC26" i="2"/>
  <c r="AB27" i="2"/>
  <c r="AC27" i="2"/>
  <c r="AB28" i="2"/>
  <c r="AC28" i="2"/>
  <c r="AB29" i="2"/>
  <c r="AC29" i="2"/>
  <c r="AB30" i="2"/>
  <c r="AC30" i="2"/>
  <c r="AB19" i="2"/>
  <c r="R30" i="10"/>
  <c r="R27" i="10"/>
  <c r="R29" i="10"/>
  <c r="R28" i="10"/>
  <c r="R26" i="10"/>
  <c r="R25" i="10"/>
  <c r="R24" i="10"/>
  <c r="R22" i="10"/>
  <c r="R21" i="10"/>
  <c r="R20" i="10"/>
  <c r="R19" i="10"/>
  <c r="AD37" i="2" l="1"/>
  <c r="AD48" i="2"/>
  <c r="AD45" i="2"/>
  <c r="AD44" i="2"/>
  <c r="AD41" i="2"/>
  <c r="AD40" i="2"/>
  <c r="AD49" i="2"/>
  <c r="AD42" i="2"/>
  <c r="AD47" i="2"/>
  <c r="AD46" i="2"/>
  <c r="AD43" i="2"/>
  <c r="AD39" i="2"/>
  <c r="AD36" i="2"/>
  <c r="AD38" i="2"/>
  <c r="AD30" i="2"/>
  <c r="AD29" i="2"/>
  <c r="AD25" i="2"/>
  <c r="AD26" i="2"/>
  <c r="AD22" i="2"/>
  <c r="AD27" i="2"/>
  <c r="AD23" i="2"/>
  <c r="AD28" i="2"/>
  <c r="AD24" i="2"/>
  <c r="AD20" i="2"/>
  <c r="AD19" i="2"/>
  <c r="AD21" i="2"/>
  <c r="E22" i="29" l="1"/>
  <c r="E22" i="5"/>
  <c r="W34" i="1"/>
  <c r="W33" i="1"/>
  <c r="D16" i="1"/>
  <c r="C18" i="1"/>
  <c r="E15" i="2" l="1"/>
  <c r="AM19" i="2" s="1"/>
  <c r="AK9" i="2"/>
  <c r="C16" i="2" l="1"/>
  <c r="X17" i="30"/>
  <c r="AG24" i="15"/>
  <c r="AH27" i="15"/>
  <c r="AG25" i="15"/>
  <c r="AH28" i="15"/>
  <c r="AG26" i="15"/>
  <c r="AH29" i="15"/>
  <c r="AG27" i="15"/>
  <c r="AH30" i="15"/>
  <c r="AG28" i="15"/>
  <c r="AH31" i="15"/>
  <c r="AG29" i="15"/>
  <c r="AH32" i="15"/>
  <c r="AH33" i="15"/>
  <c r="AG31" i="15"/>
  <c r="AH34" i="15"/>
  <c r="V20" i="30" l="1"/>
  <c r="V22" i="30"/>
  <c r="V19" i="30"/>
  <c r="V21" i="30"/>
  <c r="V24" i="30"/>
  <c r="V23" i="30"/>
  <c r="V18" i="30"/>
  <c r="Z17" i="28"/>
  <c r="X17" i="28" s="1"/>
  <c r="W17" i="28" s="1"/>
  <c r="V17" i="28" s="1"/>
  <c r="W35" i="1"/>
  <c r="H4" i="34" s="1"/>
  <c r="AJ31" i="15"/>
  <c r="AF31" i="15" s="1"/>
  <c r="AE31" i="15" s="1"/>
  <c r="AJ27" i="15"/>
  <c r="AF27" i="15" s="1"/>
  <c r="AE27" i="15" s="1"/>
  <c r="AJ34" i="15"/>
  <c r="AF34" i="15" s="1"/>
  <c r="AE34" i="15" s="1"/>
  <c r="AJ30" i="15"/>
  <c r="AF30" i="15" s="1"/>
  <c r="AE30" i="15" s="1"/>
  <c r="AJ33" i="15"/>
  <c r="AF33" i="15" s="1"/>
  <c r="AE33" i="15" s="1"/>
  <c r="AJ28" i="15"/>
  <c r="AF28" i="15" s="1"/>
  <c r="AE28" i="15" s="1"/>
  <c r="AJ32" i="15"/>
  <c r="AF32" i="15" s="1"/>
  <c r="AE32" i="15" s="1"/>
  <c r="AJ29" i="15"/>
  <c r="AF29" i="15" s="1"/>
  <c r="AE29" i="15" s="1"/>
  <c r="K114" i="15"/>
  <c r="L56" i="15"/>
  <c r="K122" i="15"/>
  <c r="AP141" i="28"/>
  <c r="AO141" i="28"/>
  <c r="AN141" i="28"/>
  <c r="AX141" i="28"/>
  <c r="AW141" i="28"/>
  <c r="AV141" i="28"/>
  <c r="AU141" i="28"/>
  <c r="AT141" i="28"/>
  <c r="AM141" i="28"/>
  <c r="AS141" i="28"/>
  <c r="AL141" i="28"/>
  <c r="AB157" i="28"/>
  <c r="X157" i="28" s="1"/>
  <c r="Z228" i="15"/>
  <c r="Z218" i="15"/>
  <c r="Z211" i="15"/>
  <c r="Z204" i="15"/>
  <c r="Z175" i="15"/>
  <c r="Z169" i="15"/>
  <c r="E4" i="30" l="1"/>
  <c r="G4" i="33"/>
  <c r="Z141" i="30"/>
  <c r="X141" i="30" s="1"/>
  <c r="Z142" i="30"/>
  <c r="X142" i="30" s="1"/>
  <c r="Z140" i="30"/>
  <c r="X140" i="30" s="1"/>
  <c r="AB58" i="28"/>
  <c r="AB59" i="28"/>
  <c r="W17" i="30"/>
  <c r="W18" i="30" s="1"/>
  <c r="W19" i="30" s="1"/>
  <c r="W20" i="30" s="1"/>
  <c r="W21" i="30" s="1"/>
  <c r="W22" i="30" s="1"/>
  <c r="W23" i="30" s="1"/>
  <c r="W24" i="30" s="1"/>
  <c r="V17" i="30"/>
  <c r="AB159" i="28"/>
  <c r="X159" i="28" s="1"/>
  <c r="AB158" i="28"/>
  <c r="X158" i="28" s="1"/>
  <c r="Y212" i="15"/>
  <c r="Z50" i="5"/>
  <c r="AA50" i="5" s="1"/>
  <c r="Y46" i="3"/>
  <c r="X46" i="3"/>
  <c r="Y51" i="3"/>
  <c r="X51" i="3"/>
  <c r="X37" i="3"/>
  <c r="Y37" i="3"/>
  <c r="Y38" i="3"/>
  <c r="X38" i="3"/>
  <c r="X36" i="3"/>
  <c r="Y36" i="3"/>
  <c r="X45" i="3"/>
  <c r="Y45" i="3"/>
  <c r="AB69" i="5"/>
  <c r="L75" i="15"/>
  <c r="Y23" i="3"/>
  <c r="X23" i="3"/>
  <c r="Y22" i="3"/>
  <c r="X22" i="3"/>
  <c r="X21" i="3"/>
  <c r="Y21" i="3"/>
  <c r="AK32" i="15"/>
  <c r="AK34" i="15"/>
  <c r="AK28" i="15"/>
  <c r="AK33" i="15"/>
  <c r="AK31" i="15"/>
  <c r="AK29" i="15"/>
  <c r="AK30" i="15"/>
  <c r="P24" i="5"/>
  <c r="O24" i="5"/>
  <c r="V67" i="3"/>
  <c r="I4" i="3"/>
  <c r="H4" i="2"/>
  <c r="AB160" i="28"/>
  <c r="X160" i="28" s="1"/>
  <c r="F4" i="10"/>
  <c r="L4" i="5"/>
  <c r="B7" i="28"/>
  <c r="H4" i="24"/>
  <c r="H4" i="18"/>
  <c r="I4" i="15"/>
  <c r="K4" i="29"/>
  <c r="I4" i="22"/>
  <c r="W157" i="28"/>
  <c r="M79" i="3" l="1"/>
  <c r="L133" i="15" s="1"/>
  <c r="Z23" i="3"/>
  <c r="Z41" i="30" s="1"/>
  <c r="AA23" i="3"/>
  <c r="AA22" i="3"/>
  <c r="Z40" i="30" s="1"/>
  <c r="Z22" i="3"/>
  <c r="AA21" i="3"/>
  <c r="Z21" i="3"/>
  <c r="K116" i="15"/>
  <c r="W158" i="28"/>
  <c r="V157" i="28"/>
  <c r="Z42" i="30" l="1"/>
  <c r="X42" i="30" s="1"/>
  <c r="Z39" i="30"/>
  <c r="X39" i="30" s="1"/>
  <c r="Z37" i="30"/>
  <c r="X37" i="30" s="1"/>
  <c r="Z38" i="30"/>
  <c r="X38" i="30" s="1"/>
  <c r="AB36" i="28"/>
  <c r="X41" i="30"/>
  <c r="AB35" i="28"/>
  <c r="X40" i="30"/>
  <c r="N13" i="3"/>
  <c r="AF30" i="30"/>
  <c r="AF155" i="30"/>
  <c r="AE187" i="28"/>
  <c r="W159" i="28"/>
  <c r="V158" i="28"/>
  <c r="V39" i="30" l="1"/>
  <c r="W39" i="30"/>
  <c r="W40" i="30"/>
  <c r="W41" i="30" s="1"/>
  <c r="W42" i="30" s="1"/>
  <c r="V40" i="30"/>
  <c r="W160" i="28"/>
  <c r="V160" i="28" s="1"/>
  <c r="V159" i="28"/>
  <c r="AH21" i="15" l="1"/>
  <c r="AH23" i="15"/>
  <c r="AH24" i="15"/>
  <c r="AH25" i="15"/>
  <c r="AH26" i="15"/>
  <c r="AC30" i="15"/>
  <c r="AC21" i="15"/>
  <c r="AC15" i="15"/>
  <c r="AC13" i="15"/>
  <c r="AJ26" i="15" l="1"/>
  <c r="AF26" i="15" s="1"/>
  <c r="AE26" i="15" s="1"/>
  <c r="AJ22" i="15"/>
  <c r="AJ25" i="15"/>
  <c r="AF25" i="15" s="1"/>
  <c r="AJ21" i="15"/>
  <c r="AJ23" i="15"/>
  <c r="AJ24" i="15"/>
  <c r="AF24" i="15" s="1"/>
  <c r="X59" i="28"/>
  <c r="AJ113" i="28"/>
  <c r="AE25" i="15" l="1"/>
  <c r="AE24" i="15"/>
  <c r="AB117" i="28"/>
  <c r="X117" i="28" s="1"/>
  <c r="AB116" i="28"/>
  <c r="X116" i="28" s="1"/>
  <c r="X58" i="28"/>
  <c r="AL95" i="28"/>
  <c r="AM95" i="28"/>
  <c r="AN95" i="28"/>
  <c r="AO95" i="28"/>
  <c r="AP95" i="28"/>
  <c r="AQ95" i="28"/>
  <c r="AL96" i="28"/>
  <c r="AM96" i="28"/>
  <c r="AN96" i="28"/>
  <c r="AO96" i="28"/>
  <c r="AP96" i="28"/>
  <c r="AQ96" i="28"/>
  <c r="AL97" i="28"/>
  <c r="AM97" i="28"/>
  <c r="AN97" i="28"/>
  <c r="AO97" i="28"/>
  <c r="AP97" i="28"/>
  <c r="AQ97" i="28"/>
  <c r="AK96" i="28"/>
  <c r="AK97" i="28"/>
  <c r="AK95" i="28"/>
  <c r="AL92" i="28"/>
  <c r="AB103" i="28" s="1"/>
  <c r="AM92" i="28"/>
  <c r="AB104" i="28" s="1"/>
  <c r="AN92" i="28"/>
  <c r="AB105" i="28" s="1"/>
  <c r="AO92" i="28"/>
  <c r="AB106" i="28" s="1"/>
  <c r="AP92" i="28"/>
  <c r="AB107" i="28" s="1"/>
  <c r="AQ92" i="28"/>
  <c r="AB108" i="28" s="1"/>
  <c r="AK92" i="28"/>
  <c r="AB102" i="28" s="1"/>
  <c r="X100" i="28"/>
  <c r="AL87" i="28"/>
  <c r="AM87" i="28"/>
  <c r="AN87" i="28"/>
  <c r="AO87" i="28"/>
  <c r="AP87" i="28"/>
  <c r="AQ87" i="28"/>
  <c r="AL88" i="28"/>
  <c r="AM88" i="28"/>
  <c r="AN88" i="28"/>
  <c r="AO88" i="28"/>
  <c r="AP88" i="28"/>
  <c r="AQ88" i="28"/>
  <c r="AL89" i="28"/>
  <c r="AM89" i="28"/>
  <c r="AN89" i="28"/>
  <c r="AO89" i="28"/>
  <c r="AP89" i="28"/>
  <c r="AQ89" i="28"/>
  <c r="AK88" i="28"/>
  <c r="AK89" i="28"/>
  <c r="AK79" i="28"/>
  <c r="AK80" i="28"/>
  <c r="AL79" i="28"/>
  <c r="AM79" i="28"/>
  <c r="AN79" i="28"/>
  <c r="AO79" i="28"/>
  <c r="AP79" i="28"/>
  <c r="AQ79" i="28"/>
  <c r="AL80" i="28"/>
  <c r="AM80" i="28"/>
  <c r="AN80" i="28"/>
  <c r="AO80" i="28"/>
  <c r="AP80" i="28"/>
  <c r="AQ80" i="28"/>
  <c r="AQ78" i="28"/>
  <c r="AP78" i="28"/>
  <c r="AO78" i="28"/>
  <c r="AN78" i="28"/>
  <c r="AM78" i="28"/>
  <c r="AL78" i="28"/>
  <c r="AK78" i="28"/>
  <c r="AL75" i="28"/>
  <c r="AB78" i="28" s="1"/>
  <c r="AM75" i="28"/>
  <c r="AB79" i="28" s="1"/>
  <c r="AN75" i="28"/>
  <c r="AB80" i="28" s="1"/>
  <c r="AO75" i="28"/>
  <c r="AB81" i="28" s="1"/>
  <c r="AP75" i="28"/>
  <c r="AB82" i="28" s="1"/>
  <c r="AQ75" i="28"/>
  <c r="AB83" i="28" s="1"/>
  <c r="AK75" i="28"/>
  <c r="AB77" i="28" s="1"/>
  <c r="AL70" i="28"/>
  <c r="AM70" i="28"/>
  <c r="AN70" i="28"/>
  <c r="AO70" i="28"/>
  <c r="AP70" i="28"/>
  <c r="AQ70" i="28"/>
  <c r="AL71" i="28"/>
  <c r="AM71" i="28"/>
  <c r="AN71" i="28"/>
  <c r="AO71" i="28"/>
  <c r="AP71" i="28"/>
  <c r="AQ71" i="28"/>
  <c r="AL72" i="28"/>
  <c r="AM72" i="28"/>
  <c r="AN72" i="28"/>
  <c r="AO72" i="28"/>
  <c r="AP72" i="28"/>
  <c r="AQ72" i="28"/>
  <c r="AK71" i="28"/>
  <c r="AK72" i="28"/>
  <c r="AK70" i="28"/>
  <c r="AK67" i="28"/>
  <c r="AB68" i="28" s="1"/>
  <c r="X75" i="28"/>
  <c r="AL67" i="28"/>
  <c r="AB69" i="28" s="1"/>
  <c r="AM67" i="28"/>
  <c r="AB70" i="28" s="1"/>
  <c r="AN67" i="28"/>
  <c r="AB71" i="28" s="1"/>
  <c r="AO67" i="28"/>
  <c r="AB72" i="28" s="1"/>
  <c r="AP67" i="28"/>
  <c r="AB73" i="28" s="1"/>
  <c r="AQ67" i="28"/>
  <c r="AB74" i="28" s="1"/>
  <c r="T15" i="22"/>
  <c r="T16" i="22"/>
  <c r="T17" i="22"/>
  <c r="T18" i="22"/>
  <c r="T19" i="22"/>
  <c r="T20" i="22"/>
  <c r="T21" i="22"/>
  <c r="T22" i="22"/>
  <c r="T23" i="22"/>
  <c r="AO59" i="2"/>
  <c r="X115" i="28" l="1"/>
  <c r="T30" i="22"/>
  <c r="AR59" i="2"/>
  <c r="X83" i="28"/>
  <c r="X77" i="28"/>
  <c r="X81" i="28"/>
  <c r="X79" i="28"/>
  <c r="AR70" i="28"/>
  <c r="AS70" i="28" s="1"/>
  <c r="AR72" i="28"/>
  <c r="AS72" i="28" s="1"/>
  <c r="AR96" i="28"/>
  <c r="AS96" i="28" s="1"/>
  <c r="AR78" i="28"/>
  <c r="AS78" i="28" s="1"/>
  <c r="X102" i="28"/>
  <c r="X82" i="28"/>
  <c r="X78" i="28"/>
  <c r="X108" i="28"/>
  <c r="X104" i="28"/>
  <c r="X107" i="28"/>
  <c r="X103" i="28"/>
  <c r="AR71" i="28"/>
  <c r="AS71" i="28" s="1"/>
  <c r="X80" i="28"/>
  <c r="AR80" i="28"/>
  <c r="AS80" i="28" s="1"/>
  <c r="X105" i="28"/>
  <c r="AR97" i="28"/>
  <c r="AS97" i="28" s="1"/>
  <c r="X73" i="28"/>
  <c r="X106" i="28"/>
  <c r="AR95" i="28"/>
  <c r="AS95" i="28" s="1"/>
  <c r="X94" i="28"/>
  <c r="X98" i="28"/>
  <c r="X71" i="28"/>
  <c r="X68" i="28"/>
  <c r="X93" i="28"/>
  <c r="W93" i="28" s="1"/>
  <c r="V93" i="28" s="1"/>
  <c r="X95" i="28"/>
  <c r="X99" i="28"/>
  <c r="X74" i="28"/>
  <c r="X96" i="28"/>
  <c r="X69" i="28"/>
  <c r="X97" i="28"/>
  <c r="AR89" i="28"/>
  <c r="AS89" i="28" s="1"/>
  <c r="AR88" i="28"/>
  <c r="AS88" i="28" s="1"/>
  <c r="AR87" i="28"/>
  <c r="AS87" i="28" s="1"/>
  <c r="AR79" i="28"/>
  <c r="AS79" i="28" s="1"/>
  <c r="X72" i="28"/>
  <c r="X70" i="28"/>
  <c r="U40" i="29"/>
  <c r="O24" i="29"/>
  <c r="O43" i="29" s="1"/>
  <c r="O67" i="29" s="1"/>
  <c r="N24" i="29"/>
  <c r="Q24" i="29"/>
  <c r="P24" i="29"/>
  <c r="L24" i="29"/>
  <c r="V6" i="18"/>
  <c r="V5" i="18"/>
  <c r="U7" i="22"/>
  <c r="U6" i="22"/>
  <c r="T11" i="3"/>
  <c r="T10" i="3"/>
  <c r="AN92" i="2"/>
  <c r="AP91" i="2"/>
  <c r="AN80" i="2"/>
  <c r="AO81" i="2"/>
  <c r="AN82" i="2"/>
  <c r="AP83" i="2"/>
  <c r="AP84" i="2"/>
  <c r="AO85" i="2"/>
  <c r="AP86" i="2"/>
  <c r="AP87" i="2"/>
  <c r="AO88" i="2"/>
  <c r="AO89" i="2"/>
  <c r="AN79" i="2"/>
  <c r="AQ79" i="2" s="1"/>
  <c r="AK4" i="2"/>
  <c r="AK3" i="2"/>
  <c r="AB46" i="28" l="1"/>
  <c r="B46" i="28" s="1"/>
  <c r="BD46" i="28" s="1"/>
  <c r="AB46" i="30"/>
  <c r="AS73" i="28"/>
  <c r="AB76" i="28" s="1"/>
  <c r="O58" i="29"/>
  <c r="W68" i="28"/>
  <c r="V68" i="28" s="1"/>
  <c r="N43" i="29"/>
  <c r="N67" i="29" s="1"/>
  <c r="W94" i="28"/>
  <c r="V94" i="28" s="1"/>
  <c r="P43" i="29"/>
  <c r="P67" i="29" s="1"/>
  <c r="AS90" i="28"/>
  <c r="AS98" i="28"/>
  <c r="AB109" i="28" s="1"/>
  <c r="AS81" i="28"/>
  <c r="L43" i="29"/>
  <c r="L67" i="29" s="1"/>
  <c r="M43" i="29"/>
  <c r="M67" i="29" s="1"/>
  <c r="Q43" i="29"/>
  <c r="Q67" i="29" s="1"/>
  <c r="AP85" i="2"/>
  <c r="AS85" i="2" s="1"/>
  <c r="AN85" i="2"/>
  <c r="AQ85" i="2" s="1"/>
  <c r="AN89" i="2"/>
  <c r="AQ89" i="2" s="1"/>
  <c r="AO67" i="2"/>
  <c r="AR67" i="2" s="1"/>
  <c r="AO71" i="2"/>
  <c r="AR71" i="2" s="1"/>
  <c r="AO63" i="2"/>
  <c r="AR63" i="2" s="1"/>
  <c r="AP90" i="2"/>
  <c r="AS90" i="2" s="1"/>
  <c r="AN90" i="2"/>
  <c r="AQ90" i="2" s="1"/>
  <c r="AK17" i="2"/>
  <c r="AM17" i="2" s="1"/>
  <c r="AL18" i="2"/>
  <c r="AP89" i="2"/>
  <c r="AS89" i="2" s="1"/>
  <c r="AN81" i="2"/>
  <c r="AQ81" i="2" s="1"/>
  <c r="AN87" i="2"/>
  <c r="AQ87" i="2" s="1"/>
  <c r="AO80" i="2"/>
  <c r="AR80" i="2" s="1"/>
  <c r="AO87" i="2"/>
  <c r="AR87" i="2" s="1"/>
  <c r="AN91" i="2"/>
  <c r="AQ91" i="2" s="1"/>
  <c r="AN86" i="2"/>
  <c r="AQ86" i="2" s="1"/>
  <c r="AO92" i="2"/>
  <c r="AR92" i="2" s="1"/>
  <c r="AP92" i="2"/>
  <c r="AS92" i="2" s="1"/>
  <c r="AP81" i="2"/>
  <c r="AS81" i="2" s="1"/>
  <c r="AN72" i="2"/>
  <c r="AQ72" i="2" s="1"/>
  <c r="AO72" i="2"/>
  <c r="AR72" i="2" s="1"/>
  <c r="AN64" i="2"/>
  <c r="AQ64" i="2" s="1"/>
  <c r="AO64" i="2"/>
  <c r="AR64" i="2" s="1"/>
  <c r="AN68" i="2"/>
  <c r="AQ68" i="2" s="1"/>
  <c r="AP68" i="2"/>
  <c r="AS68" i="2" s="1"/>
  <c r="AP60" i="2"/>
  <c r="AS60" i="2" s="1"/>
  <c r="AO60" i="2"/>
  <c r="AR60" i="2" s="1"/>
  <c r="AP72" i="2"/>
  <c r="AS72" i="2" s="1"/>
  <c r="AO68" i="2"/>
  <c r="AR68" i="2" s="1"/>
  <c r="AN88" i="2"/>
  <c r="AQ88" i="2" s="1"/>
  <c r="AN84" i="2"/>
  <c r="AQ84" i="2" s="1"/>
  <c r="AS84" i="2"/>
  <c r="AO84" i="2"/>
  <c r="AR84" i="2" s="1"/>
  <c r="AP64" i="2"/>
  <c r="AS64" i="2" s="1"/>
  <c r="AN83" i="2"/>
  <c r="AQ83" i="2" s="1"/>
  <c r="AO91" i="2"/>
  <c r="AR91" i="2" s="1"/>
  <c r="AO83" i="2"/>
  <c r="AR83" i="2" s="1"/>
  <c r="AP88" i="2"/>
  <c r="AS88" i="2" s="1"/>
  <c r="AP80" i="2"/>
  <c r="AS80" i="2" s="1"/>
  <c r="AO90" i="2"/>
  <c r="AR90" i="2" s="1"/>
  <c r="AO86" i="2"/>
  <c r="AR86" i="2" s="1"/>
  <c r="AO82" i="2"/>
  <c r="AR82" i="2" s="1"/>
  <c r="AP82" i="2"/>
  <c r="AS82" i="2" s="1"/>
  <c r="AO79" i="2"/>
  <c r="AR79" i="2" s="1"/>
  <c r="AS79" i="2"/>
  <c r="AM74" i="2"/>
  <c r="AN71" i="2"/>
  <c r="AQ71" i="2" s="1"/>
  <c r="AN67" i="2"/>
  <c r="AQ67" i="2" s="1"/>
  <c r="AN63" i="2"/>
  <c r="AQ63" i="2" s="1"/>
  <c r="AP70" i="2"/>
  <c r="AS70" i="2" s="1"/>
  <c r="AP66" i="2"/>
  <c r="AS66" i="2" s="1"/>
  <c r="AP62" i="2"/>
  <c r="AS62" i="2" s="1"/>
  <c r="AQ59" i="2"/>
  <c r="AN70" i="2"/>
  <c r="AQ70" i="2" s="1"/>
  <c r="AN66" i="2"/>
  <c r="AQ66" i="2" s="1"/>
  <c r="AN62" i="2"/>
  <c r="AQ62" i="2" s="1"/>
  <c r="AP59" i="2"/>
  <c r="AS59" i="2" s="1"/>
  <c r="AO70" i="2"/>
  <c r="AR70" i="2" s="1"/>
  <c r="AO66" i="2"/>
  <c r="AR66" i="2" s="1"/>
  <c r="AO62" i="2"/>
  <c r="AR62" i="2" s="1"/>
  <c r="AN73" i="2"/>
  <c r="AQ73" i="2" s="1"/>
  <c r="AN69" i="2"/>
  <c r="AQ69" i="2" s="1"/>
  <c r="AN65" i="2"/>
  <c r="AQ65" i="2" s="1"/>
  <c r="AN61" i="2"/>
  <c r="AQ61" i="2" s="1"/>
  <c r="AP73" i="2"/>
  <c r="AS73" i="2" s="1"/>
  <c r="AP71" i="2"/>
  <c r="AS71" i="2" s="1"/>
  <c r="AP69" i="2"/>
  <c r="AS69" i="2" s="1"/>
  <c r="AP67" i="2"/>
  <c r="AS67" i="2" s="1"/>
  <c r="AP65" i="2"/>
  <c r="AS65" i="2" s="1"/>
  <c r="AP63" i="2"/>
  <c r="AS63" i="2" s="1"/>
  <c r="AP61" i="2"/>
  <c r="AS61" i="2" s="1"/>
  <c r="AQ82" i="2"/>
  <c r="AN60" i="2"/>
  <c r="AQ60" i="2" s="1"/>
  <c r="AO73" i="2"/>
  <c r="AR73" i="2" s="1"/>
  <c r="AO69" i="2"/>
  <c r="AR69" i="2" s="1"/>
  <c r="AO65" i="2"/>
  <c r="AR65" i="2" s="1"/>
  <c r="AO61" i="2"/>
  <c r="AR61" i="2" s="1"/>
  <c r="AM93" i="2"/>
  <c r="AS83" i="2"/>
  <c r="AS87" i="2"/>
  <c r="AS86" i="2"/>
  <c r="AS91" i="2"/>
  <c r="AQ80" i="2"/>
  <c r="AR81" i="2"/>
  <c r="AR85" i="2"/>
  <c r="AR89" i="2"/>
  <c r="AQ92" i="2"/>
  <c r="AR88" i="2"/>
  <c r="Z47" i="30" l="1"/>
  <c r="X47" i="30" s="1"/>
  <c r="AB101" i="28"/>
  <c r="X101" i="28" s="1"/>
  <c r="W69" i="28"/>
  <c r="M58" i="29"/>
  <c r="N58" i="29"/>
  <c r="L58" i="29"/>
  <c r="P58" i="29"/>
  <c r="Q58" i="29"/>
  <c r="X76" i="28"/>
  <c r="AB84" i="28"/>
  <c r="X84" i="28" s="1"/>
  <c r="X109" i="28"/>
  <c r="W95" i="28"/>
  <c r="V95" i="28" s="1"/>
  <c r="AO74" i="2"/>
  <c r="AO75" i="2" s="1"/>
  <c r="AQ74" i="2"/>
  <c r="AQ75" i="2" s="1"/>
  <c r="AN74" i="2"/>
  <c r="AN75" i="2" s="1"/>
  <c r="AS74" i="2"/>
  <c r="AR74" i="2"/>
  <c r="AR75" i="2" s="1"/>
  <c r="AP74" i="2"/>
  <c r="AP75" i="2" s="1"/>
  <c r="AS93" i="2"/>
  <c r="AS94" i="2" s="1"/>
  <c r="AP93" i="2"/>
  <c r="AP94" i="2" s="1"/>
  <c r="AR93" i="2"/>
  <c r="AR94" i="2" s="1"/>
  <c r="AN93" i="2"/>
  <c r="AN94" i="2" s="1"/>
  <c r="AQ93" i="2"/>
  <c r="AQ94" i="2" s="1"/>
  <c r="AO93" i="2"/>
  <c r="AO94" i="2" s="1"/>
  <c r="AK18" i="30" l="1"/>
  <c r="AM19" i="30"/>
  <c r="AM18" i="30"/>
  <c r="AL18" i="30"/>
  <c r="AK17" i="28"/>
  <c r="AK17" i="30"/>
  <c r="AL17" i="28"/>
  <c r="AL17" i="30"/>
  <c r="AS75" i="2"/>
  <c r="S93" i="28"/>
  <c r="V69" i="28"/>
  <c r="W70" i="28"/>
  <c r="S68" i="28"/>
  <c r="W96" i="28"/>
  <c r="W97" i="28" s="1"/>
  <c r="AL20" i="30" l="1"/>
  <c r="AK20" i="30"/>
  <c r="AM17" i="28"/>
  <c r="AM17" i="30"/>
  <c r="AM20" i="30" s="1"/>
  <c r="AK18" i="28"/>
  <c r="AK20" i="28" s="1"/>
  <c r="Z18" i="28" s="1"/>
  <c r="X18" i="28" s="1"/>
  <c r="AK19" i="28"/>
  <c r="AL19" i="28"/>
  <c r="AL18" i="28"/>
  <c r="AL20" i="28" s="1"/>
  <c r="Z19" i="28" s="1"/>
  <c r="X19" i="28" s="1"/>
  <c r="AM18" i="28"/>
  <c r="AM19" i="28"/>
  <c r="V70" i="28"/>
  <c r="W71" i="28"/>
  <c r="V96" i="28"/>
  <c r="V97" i="28"/>
  <c r="W98" i="28"/>
  <c r="Z27" i="30" l="1"/>
  <c r="X27" i="30" s="1"/>
  <c r="Z25" i="30"/>
  <c r="X25" i="30" s="1"/>
  <c r="Z26" i="30"/>
  <c r="X26" i="30" s="1"/>
  <c r="AM20" i="28"/>
  <c r="Z20" i="28" s="1"/>
  <c r="X20" i="28" s="1"/>
  <c r="W18" i="28"/>
  <c r="V18" i="28" s="1"/>
  <c r="V71" i="28"/>
  <c r="W72" i="28"/>
  <c r="V98" i="28"/>
  <c r="W99" i="28"/>
  <c r="V28" i="30" l="1"/>
  <c r="V26" i="30"/>
  <c r="V30" i="30"/>
  <c r="V29" i="30"/>
  <c r="W25" i="30"/>
  <c r="W26" i="30" s="1"/>
  <c r="W27" i="30" s="1"/>
  <c r="W28" i="30" s="1"/>
  <c r="W29" i="30" s="1"/>
  <c r="W30" i="30" s="1"/>
  <c r="W31" i="30" s="1"/>
  <c r="V25" i="30"/>
  <c r="V31" i="30"/>
  <c r="V27" i="30"/>
  <c r="W19" i="28"/>
  <c r="V19" i="28" s="1"/>
  <c r="W73" i="28"/>
  <c r="V72" i="28"/>
  <c r="W100" i="28"/>
  <c r="V99" i="28"/>
  <c r="W20" i="28" l="1"/>
  <c r="V20" i="28" s="1"/>
  <c r="W74" i="28"/>
  <c r="V73" i="28"/>
  <c r="W77" i="28"/>
  <c r="V100" i="28"/>
  <c r="W101" i="28"/>
  <c r="W21" i="28" l="1"/>
  <c r="V21" i="28" s="1"/>
  <c r="W75" i="28"/>
  <c r="V74" i="28"/>
  <c r="V77" i="28"/>
  <c r="W78" i="28"/>
  <c r="V101" i="28"/>
  <c r="W102" i="28"/>
  <c r="W22" i="28" l="1"/>
  <c r="W23" i="28" s="1"/>
  <c r="V75" i="28"/>
  <c r="W76" i="28"/>
  <c r="V76" i="28" s="1"/>
  <c r="V78" i="28"/>
  <c r="W79" i="28"/>
  <c r="V102" i="28"/>
  <c r="W103" i="28"/>
  <c r="V22" i="28" l="1"/>
  <c r="V23" i="28"/>
  <c r="W24" i="28"/>
  <c r="V24" i="28" s="1"/>
  <c r="W80" i="28"/>
  <c r="V79" i="28"/>
  <c r="W104" i="28"/>
  <c r="V103" i="28"/>
  <c r="W81" i="28" l="1"/>
  <c r="V80" i="28"/>
  <c r="W105" i="28"/>
  <c r="V104" i="28"/>
  <c r="W82" i="28" l="1"/>
  <c r="V81" i="28"/>
  <c r="V105" i="28"/>
  <c r="W106" i="28"/>
  <c r="W83" i="28" l="1"/>
  <c r="V82" i="28"/>
  <c r="W107" i="28"/>
  <c r="V106" i="28"/>
  <c r="V83" i="28" l="1"/>
  <c r="W84" i="28"/>
  <c r="V84" i="28" s="1"/>
  <c r="V107" i="28"/>
  <c r="W108" i="28"/>
  <c r="U80" i="28" l="1"/>
  <c r="U82" i="28"/>
  <c r="U74" i="28"/>
  <c r="U70" i="28"/>
  <c r="U78" i="28"/>
  <c r="U68" i="28"/>
  <c r="U75" i="28"/>
  <c r="T68" i="28"/>
  <c r="B67" i="28" s="1"/>
  <c r="U81" i="28"/>
  <c r="U73" i="28"/>
  <c r="U76" i="28"/>
  <c r="U84" i="28"/>
  <c r="U83" i="28"/>
  <c r="U77" i="28"/>
  <c r="U69" i="28"/>
  <c r="U72" i="28"/>
  <c r="U71" i="28"/>
  <c r="U79" i="28"/>
  <c r="V108" i="28"/>
  <c r="W109" i="28"/>
  <c r="V109" i="28" s="1"/>
  <c r="B70" i="28" l="1"/>
  <c r="B66" i="28"/>
  <c r="B79" i="28"/>
  <c r="B77" i="28"/>
  <c r="B65" i="28"/>
  <c r="B64" i="28"/>
  <c r="B73" i="28"/>
  <c r="B69" i="28"/>
  <c r="B71" i="28"/>
  <c r="B76" i="28"/>
  <c r="B80" i="28"/>
  <c r="B72" i="28"/>
  <c r="B78" i="28"/>
  <c r="B74" i="28"/>
  <c r="B68" i="28"/>
  <c r="B75" i="28"/>
  <c r="U94" i="28"/>
  <c r="U104" i="28"/>
  <c r="U108" i="28"/>
  <c r="U97" i="28"/>
  <c r="U98" i="28"/>
  <c r="U99" i="28"/>
  <c r="U109" i="28"/>
  <c r="U103" i="28"/>
  <c r="U107" i="28"/>
  <c r="U106" i="28"/>
  <c r="U100" i="28"/>
  <c r="U105" i="28"/>
  <c r="U101" i="28"/>
  <c r="U93" i="28"/>
  <c r="U96" i="28"/>
  <c r="T93" i="28"/>
  <c r="B88" i="28" s="1"/>
  <c r="U95" i="28"/>
  <c r="U102" i="28"/>
  <c r="BD67" i="28" l="1"/>
  <c r="B84" i="28"/>
  <c r="B99" i="28"/>
  <c r="B92" i="28"/>
  <c r="B96" i="28"/>
  <c r="B91" i="28"/>
  <c r="B97" i="28"/>
  <c r="B85" i="28"/>
  <c r="B93" i="28"/>
  <c r="B83" i="28"/>
  <c r="B89" i="28"/>
  <c r="B98" i="28"/>
  <c r="B86" i="28"/>
  <c r="B94" i="28"/>
  <c r="B90" i="28"/>
  <c r="B87" i="28"/>
  <c r="B95" i="28"/>
  <c r="X31" i="28"/>
  <c r="N24" i="5" l="1"/>
  <c r="AG22" i="15" l="1"/>
  <c r="AG23" i="15"/>
  <c r="AG32" i="15"/>
  <c r="AG33" i="15"/>
  <c r="AG34" i="15"/>
  <c r="AG21" i="15"/>
  <c r="AF23" i="15" l="1"/>
  <c r="AF22" i="15"/>
  <c r="AF20" i="15"/>
  <c r="AF21" i="15"/>
  <c r="AR21" i="15"/>
  <c r="AR22" i="15"/>
  <c r="AR23" i="15"/>
  <c r="AR24" i="15"/>
  <c r="AR28" i="15"/>
  <c r="AR25" i="15"/>
  <c r="AR26" i="15"/>
  <c r="AR27" i="15"/>
  <c r="AR29" i="15"/>
  <c r="AR30" i="15"/>
  <c r="AR31" i="15"/>
  <c r="AR32" i="15"/>
  <c r="AR33" i="15"/>
  <c r="AR34" i="15"/>
  <c r="AR20" i="15"/>
  <c r="O157" i="15"/>
  <c r="AE134" i="15"/>
  <c r="AE23" i="15" l="1"/>
  <c r="AE20" i="15"/>
  <c r="AE21" i="15"/>
  <c r="AE22" i="15"/>
  <c r="L104" i="15"/>
  <c r="AF107" i="15"/>
  <c r="W55" i="18"/>
  <c r="W52" i="18"/>
  <c r="W30" i="18"/>
  <c r="AE35" i="15" l="1"/>
  <c r="K40" i="15" s="1"/>
  <c r="H40" i="15" l="1"/>
  <c r="H34" i="15"/>
  <c r="H43" i="15"/>
  <c r="H37" i="15"/>
  <c r="K43" i="15"/>
  <c r="K37" i="15"/>
  <c r="K34" i="15"/>
  <c r="AK20" i="15"/>
  <c r="AE155" i="15"/>
  <c r="E144" i="15" s="1"/>
  <c r="L102" i="15"/>
  <c r="L106" i="15" s="1"/>
  <c r="S144" i="15" l="1"/>
  <c r="AG160" i="15"/>
  <c r="K146" i="15"/>
  <c r="N144" i="15"/>
  <c r="K144" i="15"/>
  <c r="E146" i="15"/>
  <c r="H144" i="15"/>
  <c r="H152" i="15" s="1"/>
  <c r="H146" i="15"/>
  <c r="AK23" i="15"/>
  <c r="AK27" i="15"/>
  <c r="O89" i="15"/>
  <c r="P89" i="15" s="1"/>
  <c r="AK25" i="15"/>
  <c r="AK26" i="15"/>
  <c r="AK21" i="15"/>
  <c r="AK24" i="15"/>
  <c r="S148" i="15"/>
  <c r="H147" i="15"/>
  <c r="S147" i="15"/>
  <c r="N148" i="15"/>
  <c r="S146" i="15"/>
  <c r="N147" i="15"/>
  <c r="K148" i="15"/>
  <c r="N146" i="15"/>
  <c r="K147" i="15"/>
  <c r="H148" i="15"/>
  <c r="E148" i="15"/>
  <c r="E147" i="15"/>
  <c r="X60" i="29"/>
  <c r="AB34" i="28"/>
  <c r="AB37" i="28"/>
  <c r="Y60" i="29"/>
  <c r="T36" i="3"/>
  <c r="M124" i="15"/>
  <c r="M116" i="15"/>
  <c r="K118" i="15" s="1"/>
  <c r="AJ160" i="15" l="1"/>
  <c r="N152" i="15"/>
  <c r="AG142" i="15" s="1"/>
  <c r="AG146" i="15" s="1"/>
  <c r="AH160" i="15"/>
  <c r="AE142" i="15"/>
  <c r="AE144" i="15" s="1"/>
  <c r="AI160" i="15"/>
  <c r="K152" i="15"/>
  <c r="AF142" i="15" s="1"/>
  <c r="AF147" i="15" s="1"/>
  <c r="AK160" i="15"/>
  <c r="S152" i="15"/>
  <c r="AH142" i="15" s="1"/>
  <c r="AH144" i="15" s="1"/>
  <c r="AB98" i="15"/>
  <c r="M28" i="15"/>
  <c r="AD30" i="15" s="1"/>
  <c r="AI39" i="30"/>
  <c r="Z46" i="30" s="1"/>
  <c r="AI39" i="28"/>
  <c r="AB41" i="28" s="1"/>
  <c r="X41" i="28" s="1"/>
  <c r="AB39" i="28"/>
  <c r="X39" i="28" s="1"/>
  <c r="AB33" i="28"/>
  <c r="AH112" i="15"/>
  <c r="AJ112" i="15"/>
  <c r="AJ111" i="15"/>
  <c r="AH111" i="15"/>
  <c r="AI111" i="15" s="1"/>
  <c r="X36" i="28"/>
  <c r="X34" i="28"/>
  <c r="X35" i="28"/>
  <c r="Z60" i="29"/>
  <c r="AL160" i="15" l="1"/>
  <c r="C150" i="15" s="1"/>
  <c r="Z116" i="30"/>
  <c r="X116" i="30" s="1"/>
  <c r="AB130" i="28"/>
  <c r="X130" i="28" s="1"/>
  <c r="W130" i="28" s="1"/>
  <c r="Z27" i="15"/>
  <c r="O27" i="15" s="1"/>
  <c r="X46" i="30"/>
  <c r="AB38" i="28"/>
  <c r="X38" i="28" s="1"/>
  <c r="Z43" i="30"/>
  <c r="X43" i="30" s="1"/>
  <c r="O109" i="15"/>
  <c r="AB116" i="15" s="1"/>
  <c r="X37" i="28"/>
  <c r="AB32" i="28"/>
  <c r="X32" i="28" s="1"/>
  <c r="X33" i="28"/>
  <c r="AF145" i="15"/>
  <c r="AF144" i="15"/>
  <c r="AF146" i="15"/>
  <c r="AH145" i="15"/>
  <c r="AG144" i="15"/>
  <c r="AG145" i="15"/>
  <c r="AG147" i="15"/>
  <c r="AH146" i="15"/>
  <c r="AH147" i="15"/>
  <c r="AE146" i="15"/>
  <c r="AE147" i="15"/>
  <c r="AE145" i="15"/>
  <c r="AA60" i="29"/>
  <c r="C151" i="15" l="1"/>
  <c r="C149" i="15"/>
  <c r="C145" i="15"/>
  <c r="Z117" i="30"/>
  <c r="X117" i="30" s="1"/>
  <c r="V116" i="30"/>
  <c r="W116" i="30"/>
  <c r="W43" i="30"/>
  <c r="W44" i="30" s="1"/>
  <c r="W45" i="30" s="1"/>
  <c r="W46" i="30" s="1"/>
  <c r="W47" i="30" s="1"/>
  <c r="AB60" i="29"/>
  <c r="F18" i="10"/>
  <c r="W117" i="30" l="1"/>
  <c r="AC60" i="29"/>
  <c r="O210" i="15"/>
  <c r="O202" i="15"/>
  <c r="X112" i="28" l="1"/>
  <c r="X114" i="28"/>
  <c r="X113" i="28"/>
  <c r="AD60" i="29"/>
  <c r="O228" i="15"/>
  <c r="S112" i="28" l="1"/>
  <c r="W112" i="28"/>
  <c r="V112" i="28" s="1"/>
  <c r="W113" i="28" l="1"/>
  <c r="AC26" i="22"/>
  <c r="AC27" i="22"/>
  <c r="AC28" i="22"/>
  <c r="AC29" i="22"/>
  <c r="AC23" i="22"/>
  <c r="N54" i="18"/>
  <c r="V113" i="28" l="1"/>
  <c r="W114" i="28"/>
  <c r="L54" i="18"/>
  <c r="M54" i="18" s="1"/>
  <c r="V114" i="28" l="1"/>
  <c r="W115" i="28"/>
  <c r="Q18" i="18"/>
  <c r="S18" i="18" s="1"/>
  <c r="Q15" i="18"/>
  <c r="Q14" i="18"/>
  <c r="S14" i="18" s="1"/>
  <c r="P18" i="18"/>
  <c r="L18" i="18"/>
  <c r="P15" i="18"/>
  <c r="E23" i="34" s="1"/>
  <c r="L10" i="35" s="1"/>
  <c r="L15" i="18"/>
  <c r="E19" i="34" s="1"/>
  <c r="H10" i="35" s="1"/>
  <c r="P14" i="18"/>
  <c r="O18" i="18"/>
  <c r="K18" i="18"/>
  <c r="O15" i="18"/>
  <c r="E22" i="34" s="1"/>
  <c r="K10" i="35" s="1"/>
  <c r="K15" i="18"/>
  <c r="O14" i="18"/>
  <c r="K14" i="18"/>
  <c r="N18" i="18"/>
  <c r="J18" i="18"/>
  <c r="L32" i="18" s="1"/>
  <c r="N15" i="18"/>
  <c r="E21" i="34" s="1"/>
  <c r="J10" i="35" s="1"/>
  <c r="J15" i="18"/>
  <c r="E17" i="34" s="1"/>
  <c r="F10" i="35" s="1"/>
  <c r="N14" i="18"/>
  <c r="V10" i="18"/>
  <c r="D61" i="18"/>
  <c r="AC14" i="22"/>
  <c r="AC15" i="22"/>
  <c r="AC16" i="22"/>
  <c r="AC17" i="22"/>
  <c r="AC18" i="22"/>
  <c r="AC19" i="22"/>
  <c r="AC20" i="22"/>
  <c r="AC21" i="22"/>
  <c r="AC22" i="22"/>
  <c r="AD69" i="18" l="1"/>
  <c r="E18" i="34"/>
  <c r="G10" i="35" s="1"/>
  <c r="S15" i="18"/>
  <c r="U13" i="34" s="1"/>
  <c r="E24" i="34"/>
  <c r="M10" i="35" s="1"/>
  <c r="N30" i="18"/>
  <c r="L31" i="18"/>
  <c r="N31" i="18"/>
  <c r="N32" i="18"/>
  <c r="N29" i="18"/>
  <c r="L30" i="18"/>
  <c r="M30" i="18" s="1"/>
  <c r="AG69" i="18"/>
  <c r="AG68" i="18"/>
  <c r="AE69" i="18"/>
  <c r="AF69" i="18"/>
  <c r="AJ68" i="18"/>
  <c r="AH69" i="18"/>
  <c r="AI68" i="18"/>
  <c r="AF68" i="18"/>
  <c r="M16" i="18" s="1"/>
  <c r="AI69" i="18"/>
  <c r="AH68" i="18"/>
  <c r="AJ69" i="18"/>
  <c r="AE68" i="18"/>
  <c r="R15" i="18"/>
  <c r="U12" i="34" s="1"/>
  <c r="R18" i="18"/>
  <c r="R14" i="18"/>
  <c r="V115" i="28"/>
  <c r="W116" i="28"/>
  <c r="AC69" i="18"/>
  <c r="AC68" i="18"/>
  <c r="M31" i="18"/>
  <c r="M32" i="18"/>
  <c r="M43" i="18"/>
  <c r="Q43" i="18" s="1"/>
  <c r="M39" i="18"/>
  <c r="Q39" i="18" s="1"/>
  <c r="AD68" i="18"/>
  <c r="E62" i="18"/>
  <c r="E61" i="18"/>
  <c r="G64" i="18"/>
  <c r="G62" i="18"/>
  <c r="G59" i="18"/>
  <c r="G65" i="18"/>
  <c r="G61" i="18"/>
  <c r="G60" i="18"/>
  <c r="I60" i="18"/>
  <c r="I63" i="18"/>
  <c r="H60" i="18"/>
  <c r="H65" i="18"/>
  <c r="I64" i="18"/>
  <c r="H62" i="18"/>
  <c r="H64" i="18"/>
  <c r="H61" i="18"/>
  <c r="I62" i="18"/>
  <c r="I65" i="18"/>
  <c r="H63" i="18"/>
  <c r="W117" i="28" l="1"/>
  <c r="V116" i="28"/>
  <c r="J16" i="18"/>
  <c r="M42" i="18"/>
  <c r="Q42" i="18" s="1"/>
  <c r="M40" i="18"/>
  <c r="Q40" i="18" s="1"/>
  <c r="M41" i="18"/>
  <c r="Q41" i="18" s="1"/>
  <c r="L16" i="18"/>
  <c r="N16" i="18"/>
  <c r="P16" i="18"/>
  <c r="O16" i="18"/>
  <c r="Q16" i="18"/>
  <c r="S16" i="18" s="1"/>
  <c r="K16" i="18"/>
  <c r="M17" i="18"/>
  <c r="G66" i="18"/>
  <c r="H66" i="18"/>
  <c r="R16" i="18" l="1"/>
  <c r="W118" i="28"/>
  <c r="V117" i="28"/>
  <c r="M29" i="18"/>
  <c r="Q29" i="18" s="1"/>
  <c r="K17" i="18"/>
  <c r="N17" i="18"/>
  <c r="L17" i="18"/>
  <c r="J17" i="18"/>
  <c r="P17" i="18"/>
  <c r="O17" i="18"/>
  <c r="Q17" i="18"/>
  <c r="R17" i="18" s="1"/>
  <c r="J60" i="18"/>
  <c r="J61" i="18"/>
  <c r="J62" i="18"/>
  <c r="J63" i="18"/>
  <c r="J65" i="18"/>
  <c r="J59" i="18"/>
  <c r="D62" i="18"/>
  <c r="D63" i="18"/>
  <c r="D64" i="18"/>
  <c r="D65" i="18"/>
  <c r="D60" i="18"/>
  <c r="Z13" i="3"/>
  <c r="Z14" i="3"/>
  <c r="Z15" i="3"/>
  <c r="D66" i="18" l="1"/>
  <c r="Z43" i="18" s="1"/>
  <c r="S17" i="18"/>
  <c r="W119" i="28"/>
  <c r="V118" i="28"/>
  <c r="F62" i="18"/>
  <c r="F63" i="18"/>
  <c r="F64" i="18"/>
  <c r="F60" i="18"/>
  <c r="F65" i="18"/>
  <c r="F61" i="18"/>
  <c r="F59" i="18"/>
  <c r="J66" i="18"/>
  <c r="E64" i="18"/>
  <c r="E60" i="18"/>
  <c r="E65" i="18"/>
  <c r="E63" i="18"/>
  <c r="W120" i="28" l="1"/>
  <c r="V119" i="28"/>
  <c r="Y43" i="18"/>
  <c r="F66" i="18"/>
  <c r="K63" i="18"/>
  <c r="K65" i="18"/>
  <c r="K64" i="18"/>
  <c r="K62" i="18"/>
  <c r="K61" i="18"/>
  <c r="K60" i="18"/>
  <c r="K59" i="18"/>
  <c r="E66" i="18"/>
  <c r="I66" i="18"/>
  <c r="K66" i="18" l="1"/>
  <c r="W121" i="28"/>
  <c r="V120" i="28"/>
  <c r="P62" i="18"/>
  <c r="Q58" i="18" l="1"/>
  <c r="Q23" i="34"/>
  <c r="Q60" i="18"/>
  <c r="Q62" i="18"/>
  <c r="W122" i="28"/>
  <c r="V122" i="28" s="1"/>
  <c r="V121" i="28"/>
  <c r="O167" i="15"/>
  <c r="O212" i="15"/>
  <c r="O214" i="15" s="1"/>
  <c r="O204" i="15"/>
  <c r="J58" i="34" l="1"/>
  <c r="J71" i="34"/>
  <c r="J84" i="34"/>
  <c r="J104" i="34"/>
  <c r="J107" i="34"/>
  <c r="J116" i="34"/>
  <c r="J126" i="34"/>
  <c r="J129" i="34"/>
  <c r="J132" i="34"/>
  <c r="J142" i="34"/>
  <c r="J145" i="34"/>
  <c r="J148" i="34"/>
  <c r="J155" i="34"/>
  <c r="J159" i="34"/>
  <c r="J163" i="34"/>
  <c r="J167" i="34"/>
  <c r="J171" i="34"/>
  <c r="J175" i="34"/>
  <c r="J179" i="34"/>
  <c r="J183" i="34"/>
  <c r="J187" i="34"/>
  <c r="J191" i="34"/>
  <c r="J195" i="34"/>
  <c r="J199" i="34"/>
  <c r="J203" i="34"/>
  <c r="J207" i="34"/>
  <c r="J211" i="34"/>
  <c r="J215" i="34"/>
  <c r="J219" i="34"/>
  <c r="J223" i="34"/>
  <c r="J36" i="34"/>
  <c r="J74" i="34"/>
  <c r="J87" i="34"/>
  <c r="J90" i="34"/>
  <c r="J110" i="34"/>
  <c r="J117" i="34"/>
  <c r="J120" i="34"/>
  <c r="J130" i="34"/>
  <c r="J133" i="34"/>
  <c r="J136" i="34"/>
  <c r="J146" i="34"/>
  <c r="J149" i="34"/>
  <c r="J152" i="34"/>
  <c r="J156" i="34"/>
  <c r="J42" i="34"/>
  <c r="J55" i="34"/>
  <c r="J88" i="34"/>
  <c r="J122" i="34"/>
  <c r="J125" i="34"/>
  <c r="J134" i="34"/>
  <c r="J154" i="34"/>
  <c r="J166" i="34"/>
  <c r="J169" i="34"/>
  <c r="J172" i="34"/>
  <c r="J182" i="34"/>
  <c r="J185" i="34"/>
  <c r="J188" i="34"/>
  <c r="J198" i="34"/>
  <c r="J201" i="34"/>
  <c r="J204" i="34"/>
  <c r="J214" i="34"/>
  <c r="J217" i="34"/>
  <c r="J220" i="34"/>
  <c r="J39" i="34"/>
  <c r="J52" i="34"/>
  <c r="J124" i="34"/>
  <c r="J144" i="34"/>
  <c r="J153" i="34"/>
  <c r="J162" i="34"/>
  <c r="J168" i="34"/>
  <c r="J178" i="34"/>
  <c r="J184" i="34"/>
  <c r="J197" i="34"/>
  <c r="J210" i="34"/>
  <c r="J216" i="34"/>
  <c r="J226" i="34"/>
  <c r="J103" i="34"/>
  <c r="J141" i="34"/>
  <c r="J161" i="34"/>
  <c r="J174" i="34"/>
  <c r="J180" i="34"/>
  <c r="J193" i="34"/>
  <c r="J196" i="34"/>
  <c r="J209" i="34"/>
  <c r="J222" i="34"/>
  <c r="J68" i="34"/>
  <c r="J91" i="34"/>
  <c r="J100" i="34"/>
  <c r="J128" i="34"/>
  <c r="J137" i="34"/>
  <c r="J140" i="34"/>
  <c r="J157" i="34"/>
  <c r="J160" i="34"/>
  <c r="J170" i="34"/>
  <c r="J173" i="34"/>
  <c r="J176" i="34"/>
  <c r="J186" i="34"/>
  <c r="J189" i="34"/>
  <c r="J192" i="34"/>
  <c r="J202" i="34"/>
  <c r="J205" i="34"/>
  <c r="J208" i="34"/>
  <c r="J218" i="34"/>
  <c r="J221" i="34"/>
  <c r="J224" i="34"/>
  <c r="J106" i="34"/>
  <c r="J121" i="34"/>
  <c r="J165" i="34"/>
  <c r="J181" i="34"/>
  <c r="J194" i="34"/>
  <c r="J200" i="34"/>
  <c r="J213" i="34"/>
  <c r="W24" i="34"/>
  <c r="J94" i="34"/>
  <c r="J118" i="34"/>
  <c r="J138" i="34"/>
  <c r="J150" i="34"/>
  <c r="J158" i="34"/>
  <c r="J164" i="34"/>
  <c r="J177" i="34"/>
  <c r="J190" i="34"/>
  <c r="J206" i="34"/>
  <c r="J212" i="34"/>
  <c r="J225" i="34"/>
  <c r="L25" i="34"/>
  <c r="J41" i="34"/>
  <c r="J57" i="34"/>
  <c r="J73" i="34"/>
  <c r="J89" i="34"/>
  <c r="J105" i="34"/>
  <c r="J62" i="34"/>
  <c r="J43" i="34"/>
  <c r="J111" i="34"/>
  <c r="J92" i="34"/>
  <c r="J66" i="34"/>
  <c r="J47" i="34"/>
  <c r="J28" i="34"/>
  <c r="J151" i="34"/>
  <c r="J135" i="34"/>
  <c r="J119" i="34"/>
  <c r="J99" i="34"/>
  <c r="J80" i="34"/>
  <c r="J54" i="34"/>
  <c r="J35" i="34"/>
  <c r="J77" i="34"/>
  <c r="J59" i="34"/>
  <c r="J82" i="34"/>
  <c r="J147" i="34"/>
  <c r="J131" i="34"/>
  <c r="J115" i="34"/>
  <c r="J96" i="34"/>
  <c r="J70" i="34"/>
  <c r="J32" i="34"/>
  <c r="J113" i="34"/>
  <c r="J30" i="34"/>
  <c r="J48" i="34"/>
  <c r="J37" i="34"/>
  <c r="J53" i="34"/>
  <c r="J69" i="34"/>
  <c r="J85" i="34"/>
  <c r="J101" i="34"/>
  <c r="W13" i="34"/>
  <c r="J72" i="34"/>
  <c r="J46" i="34"/>
  <c r="J114" i="34"/>
  <c r="J95" i="34"/>
  <c r="J76" i="34"/>
  <c r="J50" i="34"/>
  <c r="J31" i="34"/>
  <c r="J139" i="34"/>
  <c r="J123" i="34"/>
  <c r="J102" i="34"/>
  <c r="J83" i="34"/>
  <c r="J64" i="34"/>
  <c r="J38" i="34"/>
  <c r="J29" i="34"/>
  <c r="J45" i="34"/>
  <c r="J61" i="34"/>
  <c r="J93" i="34"/>
  <c r="J109" i="34"/>
  <c r="J78" i="34"/>
  <c r="J40" i="34"/>
  <c r="J108" i="34"/>
  <c r="J63" i="34"/>
  <c r="J44" i="34"/>
  <c r="J51" i="34"/>
  <c r="J33" i="34"/>
  <c r="J49" i="34"/>
  <c r="J65" i="34"/>
  <c r="J81" i="34"/>
  <c r="J97" i="34"/>
  <c r="J75" i="34"/>
  <c r="J56" i="34"/>
  <c r="J98" i="34"/>
  <c r="J79" i="34"/>
  <c r="J60" i="34"/>
  <c r="J34" i="34"/>
  <c r="J143" i="34"/>
  <c r="J127" i="34"/>
  <c r="J112" i="34"/>
  <c r="J86" i="34"/>
  <c r="J67" i="34"/>
  <c r="O206" i="15"/>
  <c r="Q201" i="15" s="1"/>
  <c r="Y204" i="15" s="1"/>
  <c r="Z129" i="30" s="1"/>
  <c r="Z48" i="30"/>
  <c r="X48" i="30" s="1"/>
  <c r="V50" i="30"/>
  <c r="U121" i="28"/>
  <c r="U118" i="28"/>
  <c r="U119" i="28"/>
  <c r="U117" i="28"/>
  <c r="U120" i="28"/>
  <c r="U112" i="28"/>
  <c r="T112" i="28"/>
  <c r="U113" i="28"/>
  <c r="U122" i="28"/>
  <c r="U114" i="28"/>
  <c r="U116" i="28"/>
  <c r="U115" i="28"/>
  <c r="AB49" i="28"/>
  <c r="X49" i="28" s="1"/>
  <c r="G27" i="18"/>
  <c r="Q209" i="15"/>
  <c r="T22" i="34" l="1"/>
  <c r="AB205" i="15"/>
  <c r="W48" i="30"/>
  <c r="V48" i="30"/>
  <c r="Z143" i="30"/>
  <c r="X143" i="30" s="1"/>
  <c r="AC116" i="28"/>
  <c r="AC119" i="28"/>
  <c r="AC122" i="28"/>
  <c r="AC112" i="28"/>
  <c r="AC113" i="28"/>
  <c r="AC118" i="28"/>
  <c r="AC120" i="28"/>
  <c r="AC114" i="28"/>
  <c r="AC117" i="28"/>
  <c r="AC121" i="28"/>
  <c r="AC115" i="28"/>
  <c r="AB143" i="28"/>
  <c r="X143" i="28" s="1"/>
  <c r="X129" i="30"/>
  <c r="AR142" i="30"/>
  <c r="Z149" i="30" s="1"/>
  <c r="AR141" i="28"/>
  <c r="AQ141" i="28"/>
  <c r="Z150" i="30"/>
  <c r="AB161" i="28"/>
  <c r="X161" i="28" s="1"/>
  <c r="W49" i="28"/>
  <c r="AB211" i="15"/>
  <c r="Y211" i="15"/>
  <c r="K124" i="15"/>
  <c r="P54" i="18"/>
  <c r="Q54" i="18" s="1"/>
  <c r="J54" i="18"/>
  <c r="J52" i="18"/>
  <c r="K126" i="15" l="1"/>
  <c r="O121" i="15" s="1"/>
  <c r="Z130" i="30"/>
  <c r="X130" i="30" s="1"/>
  <c r="AZ141" i="28"/>
  <c r="BA141" i="28" s="1"/>
  <c r="X149" i="30"/>
  <c r="X150" i="30"/>
  <c r="AB168" i="28"/>
  <c r="X168" i="28" s="1"/>
  <c r="AB167" i="28"/>
  <c r="X167" i="28" s="1"/>
  <c r="V49" i="28"/>
  <c r="AB144" i="28"/>
  <c r="X144" i="28" s="1"/>
  <c r="W161" i="28"/>
  <c r="P121" i="15" l="1"/>
  <c r="AB123" i="15"/>
  <c r="Z118" i="30" s="1"/>
  <c r="X118" i="30" s="1"/>
  <c r="AB165" i="28"/>
  <c r="X165" i="28" s="1"/>
  <c r="AB162" i="28"/>
  <c r="X162" i="28" s="1"/>
  <c r="W162" i="28" s="1"/>
  <c r="AB163" i="28"/>
  <c r="X163" i="28" s="1"/>
  <c r="V149" i="30"/>
  <c r="V150" i="30"/>
  <c r="W150" i="30"/>
  <c r="AB166" i="28"/>
  <c r="X166" i="28" s="1"/>
  <c r="AB172" i="28"/>
  <c r="X172" i="28" s="1"/>
  <c r="AB170" i="28"/>
  <c r="X170" i="28" s="1"/>
  <c r="AB164" i="28"/>
  <c r="X164" i="28" s="1"/>
  <c r="AB173" i="28"/>
  <c r="X173" i="28" s="1"/>
  <c r="AB171" i="28"/>
  <c r="X171" i="28" s="1"/>
  <c r="AB169" i="28"/>
  <c r="X169" i="28" s="1"/>
  <c r="W169" i="28" s="1"/>
  <c r="AB174" i="28"/>
  <c r="X174" i="28" s="1"/>
  <c r="V161" i="28"/>
  <c r="V18" i="18"/>
  <c r="J30" i="18"/>
  <c r="J31" i="18"/>
  <c r="P30" i="18"/>
  <c r="Q30" i="18" s="1"/>
  <c r="P31" i="18"/>
  <c r="Q31" i="18" s="1"/>
  <c r="P32" i="18"/>
  <c r="Q32" i="18" s="1"/>
  <c r="AB132" i="28" l="1"/>
  <c r="X132" i="28" s="1"/>
  <c r="W132" i="28" s="1"/>
  <c r="V132" i="28" s="1"/>
  <c r="V118" i="30"/>
  <c r="W118" i="30"/>
  <c r="S160" i="28"/>
  <c r="W170" i="28"/>
  <c r="V170" i="28" s="1"/>
  <c r="V169" i="28"/>
  <c r="W163" i="28"/>
  <c r="V162" i="28"/>
  <c r="J32" i="18"/>
  <c r="W171" i="28" l="1"/>
  <c r="V171" i="28" s="1"/>
  <c r="V163" i="28"/>
  <c r="W164" i="28"/>
  <c r="J50" i="18"/>
  <c r="J49" i="18"/>
  <c r="J48" i="18"/>
  <c r="J47" i="18"/>
  <c r="J46" i="18"/>
  <c r="J45" i="18"/>
  <c r="J44" i="18"/>
  <c r="J43" i="18"/>
  <c r="J42" i="18"/>
  <c r="J41" i="18"/>
  <c r="J40" i="18"/>
  <c r="J39" i="18"/>
  <c r="P64" i="18" l="1"/>
  <c r="P65" i="18" s="1"/>
  <c r="K16" i="5" s="1"/>
  <c r="K20" i="5" s="1"/>
  <c r="W172" i="28"/>
  <c r="V172" i="28" s="1"/>
  <c r="W165" i="28"/>
  <c r="V164" i="28"/>
  <c r="K21" i="5" l="1"/>
  <c r="K24" i="5" s="1"/>
  <c r="W173" i="28"/>
  <c r="V173" i="28" s="1"/>
  <c r="W166" i="28"/>
  <c r="V165" i="28"/>
  <c r="W174" i="28" l="1"/>
  <c r="V174" i="28" s="1"/>
  <c r="V166" i="28"/>
  <c r="W167" i="28"/>
  <c r="O218" i="15"/>
  <c r="K24" i="29"/>
  <c r="K43" i="29" s="1"/>
  <c r="K67" i="29" s="1"/>
  <c r="O220" i="15"/>
  <c r="V167" i="28" l="1"/>
  <c r="W168" i="28"/>
  <c r="V168" i="28" s="1"/>
  <c r="O222" i="15"/>
  <c r="Q217" i="15" s="1"/>
  <c r="U157" i="28"/>
  <c r="U170" i="28"/>
  <c r="U173" i="28"/>
  <c r="U159" i="28"/>
  <c r="U165" i="28"/>
  <c r="T160" i="28"/>
  <c r="B142" i="28" s="1"/>
  <c r="U158" i="28"/>
  <c r="U169" i="28"/>
  <c r="U163" i="28"/>
  <c r="U162" i="28"/>
  <c r="U161" i="28"/>
  <c r="U171" i="28"/>
  <c r="U160" i="28"/>
  <c r="U167" i="28"/>
  <c r="U168" i="28"/>
  <c r="U172" i="28"/>
  <c r="U164" i="28"/>
  <c r="U166" i="28"/>
  <c r="U174" i="28"/>
  <c r="K58" i="29"/>
  <c r="B137" i="28" l="1"/>
  <c r="B147" i="28"/>
  <c r="B138" i="28"/>
  <c r="B135" i="28"/>
  <c r="B139" i="28"/>
  <c r="B144" i="28"/>
  <c r="B136" i="28"/>
  <c r="B146" i="28"/>
  <c r="B148" i="28"/>
  <c r="B131" i="28"/>
  <c r="B140" i="28"/>
  <c r="B143" i="28"/>
  <c r="B145" i="28"/>
  <c r="B133" i="28"/>
  <c r="B132" i="28"/>
  <c r="B134" i="28"/>
  <c r="B141" i="28"/>
  <c r="Y218" i="15"/>
  <c r="Z131" i="30" l="1"/>
  <c r="X131" i="30" s="1"/>
  <c r="N12" i="3"/>
  <c r="L14" i="3" s="1"/>
  <c r="AF156" i="30"/>
  <c r="AE30" i="30"/>
  <c r="BD115" i="28"/>
  <c r="V23" i="3"/>
  <c r="M82" i="3"/>
  <c r="AB28" i="30" s="1"/>
  <c r="AB145" i="28"/>
  <c r="X145" i="28" s="1"/>
  <c r="AE188" i="28"/>
  <c r="P15" i="2"/>
  <c r="Z30" i="28"/>
  <c r="AC28" i="15"/>
  <c r="M15" i="15"/>
  <c r="AK51" i="2"/>
  <c r="Z35" i="30" l="1"/>
  <c r="X35" i="30" s="1"/>
  <c r="V42" i="30"/>
  <c r="V41" i="30"/>
  <c r="V38" i="30"/>
  <c r="V37" i="30"/>
  <c r="Z29" i="15"/>
  <c r="V43" i="30" l="1"/>
  <c r="M31" i="10"/>
  <c r="AC187" i="28" l="1"/>
  <c r="AB187" i="28" s="1"/>
  <c r="X187" i="28" s="1"/>
  <c r="W187" i="28" s="1"/>
  <c r="V187" i="28" s="1"/>
  <c r="AD155" i="30"/>
  <c r="Z168" i="30" s="1"/>
  <c r="X168" i="30" s="1"/>
  <c r="N29" i="10"/>
  <c r="M24" i="5" l="1"/>
  <c r="Q24" i="5"/>
  <c r="L78" i="15"/>
  <c r="L86" i="15" s="1"/>
  <c r="O74" i="15" s="1"/>
  <c r="AC78" i="15" s="1"/>
  <c r="Z115" i="30" l="1"/>
  <c r="X115" i="30" s="1"/>
  <c r="O226" i="15"/>
  <c r="O230" i="15" s="1"/>
  <c r="Q225" i="15" s="1"/>
  <c r="O165" i="15"/>
  <c r="O169" i="15" s="1"/>
  <c r="Q164" i="15" s="1"/>
  <c r="O43" i="5"/>
  <c r="P43" i="5"/>
  <c r="L43" i="5"/>
  <c r="Q43" i="5"/>
  <c r="M43" i="5"/>
  <c r="N43" i="5"/>
  <c r="AB166" i="15" l="1"/>
  <c r="AC166" i="15"/>
  <c r="L135" i="15"/>
  <c r="L137" i="15" s="1"/>
  <c r="P109" i="15"/>
  <c r="AA30" i="28"/>
  <c r="O196" i="15"/>
  <c r="AB131" i="28" l="1"/>
  <c r="X131" i="28" s="1"/>
  <c r="Y228" i="15"/>
  <c r="O159" i="15"/>
  <c r="O161" i="15" s="1"/>
  <c r="Y169" i="15"/>
  <c r="Z125" i="30" s="1"/>
  <c r="L58" i="15"/>
  <c r="S32" i="10"/>
  <c r="I32" i="10" s="1"/>
  <c r="M17" i="15"/>
  <c r="L60" i="15" l="1"/>
  <c r="AG56" i="15" s="1"/>
  <c r="Z132" i="30"/>
  <c r="X132" i="30" s="1"/>
  <c r="Z112" i="30"/>
  <c r="X112" i="30" s="1"/>
  <c r="AB139" i="28"/>
  <c r="X139" i="28" s="1"/>
  <c r="X125" i="30"/>
  <c r="W131" i="28"/>
  <c r="AB157" i="15"/>
  <c r="AA157" i="15"/>
  <c r="AB146" i="28"/>
  <c r="X146" i="28" s="1"/>
  <c r="O14" i="15"/>
  <c r="AB127" i="28"/>
  <c r="AB30" i="28"/>
  <c r="X30" i="28" s="1"/>
  <c r="AD15" i="15"/>
  <c r="K43" i="5"/>
  <c r="AG134" i="15"/>
  <c r="AF134" i="15"/>
  <c r="AH134" i="15"/>
  <c r="W112" i="30" l="1"/>
  <c r="W113" i="30" s="1"/>
  <c r="Q156" i="15"/>
  <c r="W30" i="28"/>
  <c r="W31" i="28" s="1"/>
  <c r="S30" i="28"/>
  <c r="K66" i="5"/>
  <c r="K68" i="5" s="1"/>
  <c r="K58" i="5"/>
  <c r="O129" i="15"/>
  <c r="AB133" i="15" s="1"/>
  <c r="X127" i="28"/>
  <c r="Y175" i="15"/>
  <c r="Z126" i="30" s="1"/>
  <c r="AH56" i="15"/>
  <c r="AI56" i="15" s="1"/>
  <c r="AG57" i="15"/>
  <c r="AI57" i="15" s="1"/>
  <c r="O52" i="15" s="1"/>
  <c r="P52" i="15" s="1"/>
  <c r="Z119" i="30" l="1"/>
  <c r="X119" i="30" s="1"/>
  <c r="X126" i="30"/>
  <c r="AB133" i="28"/>
  <c r="X133" i="28" s="1"/>
  <c r="W133" i="28" s="1"/>
  <c r="V30" i="28"/>
  <c r="V31" i="28"/>
  <c r="W32" i="28"/>
  <c r="V32" i="28" s="1"/>
  <c r="AC59" i="15"/>
  <c r="P129" i="15"/>
  <c r="W127" i="28"/>
  <c r="V127" i="28" s="1"/>
  <c r="O187" i="15"/>
  <c r="Q186" i="15" s="1"/>
  <c r="Y187" i="15" s="1"/>
  <c r="O182" i="15"/>
  <c r="AB140" i="28"/>
  <c r="X140" i="28" s="1"/>
  <c r="Y159" i="15"/>
  <c r="W33" i="28"/>
  <c r="V33" i="28" s="1"/>
  <c r="Z124" i="30" l="1"/>
  <c r="X124" i="30" s="1"/>
  <c r="Z128" i="30"/>
  <c r="X128" i="30" s="1"/>
  <c r="W119" i="30"/>
  <c r="V119" i="30"/>
  <c r="Z114" i="30"/>
  <c r="X114" i="30" s="1"/>
  <c r="V117" i="30" s="1"/>
  <c r="V126" i="30"/>
  <c r="W126" i="30"/>
  <c r="AB138" i="28"/>
  <c r="X138" i="28" s="1"/>
  <c r="AB128" i="28"/>
  <c r="X128" i="28" s="1"/>
  <c r="W34" i="28"/>
  <c r="V34" i="28" s="1"/>
  <c r="V114" i="30" l="1"/>
  <c r="W114" i="30"/>
  <c r="W115" i="30" s="1"/>
  <c r="V130" i="28"/>
  <c r="W128" i="28"/>
  <c r="V128" i="28" s="1"/>
  <c r="W35" i="28"/>
  <c r="V35" i="28" s="1"/>
  <c r="W36" i="28" l="1"/>
  <c r="V36" i="28" s="1"/>
  <c r="W37" i="28" l="1"/>
  <c r="V37" i="28" s="1"/>
  <c r="W38" i="28" l="1"/>
  <c r="V38" i="28" s="1"/>
  <c r="W39" i="28" l="1"/>
  <c r="W40" i="28" s="1"/>
  <c r="V39" i="28" l="1"/>
  <c r="V40" i="28"/>
  <c r="W41" i="28"/>
  <c r="V41" i="28" s="1"/>
  <c r="F19" i="10"/>
  <c r="F22" i="10" s="1"/>
  <c r="AK61" i="2" s="1"/>
  <c r="F58" i="2" s="1"/>
  <c r="F73" i="2" s="1"/>
  <c r="T30" i="28" l="1"/>
  <c r="U30" i="28"/>
  <c r="M20" i="10"/>
  <c r="M21" i="10" s="1"/>
  <c r="B34" i="28" l="1"/>
  <c r="B38" i="28"/>
  <c r="B42" i="28"/>
  <c r="B31" i="28"/>
  <c r="B35" i="28"/>
  <c r="B39" i="28"/>
  <c r="B43" i="28"/>
  <c r="B32" i="28"/>
  <c r="B36" i="28"/>
  <c r="B40" i="28"/>
  <c r="B30" i="28"/>
  <c r="B33" i="28"/>
  <c r="B37" i="28"/>
  <c r="B41" i="28"/>
  <c r="M33" i="10"/>
  <c r="V34" i="10" s="1"/>
  <c r="F34" i="10" s="1"/>
  <c r="Z32" i="30" l="1"/>
  <c r="X32" i="30" s="1"/>
  <c r="AK60" i="2"/>
  <c r="G73" i="2" s="1"/>
  <c r="AC189" i="28"/>
  <c r="AD157" i="30"/>
  <c r="Z25" i="28"/>
  <c r="X25" i="28" s="1"/>
  <c r="W25" i="28" s="1"/>
  <c r="BD30" i="28"/>
  <c r="AB189" i="28"/>
  <c r="X189" i="28" s="1"/>
  <c r="M35" i="10"/>
  <c r="V53" i="30" l="1"/>
  <c r="V52" i="30"/>
  <c r="V51" i="30"/>
  <c r="V168" i="30"/>
  <c r="V34" i="30"/>
  <c r="V47" i="30"/>
  <c r="V46" i="30"/>
  <c r="V45" i="30"/>
  <c r="V44" i="30"/>
  <c r="V33" i="30"/>
  <c r="V35" i="30"/>
  <c r="AD160" i="30"/>
  <c r="AH160" i="30" s="1"/>
  <c r="W32" i="30"/>
  <c r="W33" i="30" s="1"/>
  <c r="W34" i="30" s="1"/>
  <c r="W35" i="30" s="1"/>
  <c r="W36" i="30" s="1"/>
  <c r="W37" i="30" s="1"/>
  <c r="W38" i="30" s="1"/>
  <c r="V32" i="30"/>
  <c r="V36" i="30"/>
  <c r="S17" i="28"/>
  <c r="AC188" i="28"/>
  <c r="AB188" i="28" s="1"/>
  <c r="X188" i="28" s="1"/>
  <c r="W188" i="28" s="1"/>
  <c r="V188" i="28" s="1"/>
  <c r="AD156" i="30"/>
  <c r="V25" i="28"/>
  <c r="W26" i="28"/>
  <c r="S36" i="10"/>
  <c r="I36" i="10" s="1"/>
  <c r="Z170" i="30" l="1"/>
  <c r="X170" i="30" s="1"/>
  <c r="Z169" i="30"/>
  <c r="X169" i="30" s="1"/>
  <c r="W189" i="28"/>
  <c r="V189" i="28" s="1"/>
  <c r="U189" i="28" s="1"/>
  <c r="S179" i="28"/>
  <c r="W27" i="28"/>
  <c r="V27" i="28" s="1"/>
  <c r="V26" i="28"/>
  <c r="V170" i="30" l="1"/>
  <c r="U176" i="28"/>
  <c r="T179" i="28"/>
  <c r="B164" i="28" s="1"/>
  <c r="U186" i="28"/>
  <c r="U184" i="28"/>
  <c r="U181" i="28"/>
  <c r="U178" i="28"/>
  <c r="U185" i="28"/>
  <c r="U177" i="28"/>
  <c r="U183" i="28"/>
  <c r="U179" i="28"/>
  <c r="U182" i="28"/>
  <c r="U187" i="28"/>
  <c r="U188" i="28"/>
  <c r="U180" i="28"/>
  <c r="T17" i="28"/>
  <c r="B17" i="28" s="1"/>
  <c r="U17" i="28"/>
  <c r="B154" i="28" l="1"/>
  <c r="B155" i="28"/>
  <c r="B159" i="28"/>
  <c r="B156" i="28"/>
  <c r="B160" i="28"/>
  <c r="B151" i="28"/>
  <c r="B162" i="28"/>
  <c r="B152" i="28"/>
  <c r="B153" i="28"/>
  <c r="B158" i="28"/>
  <c r="B161" i="28"/>
  <c r="B157" i="28"/>
  <c r="B163" i="28"/>
  <c r="B25" i="28"/>
  <c r="Q25" i="28" s="1"/>
  <c r="B18" i="28"/>
  <c r="Q18" i="28" s="1"/>
  <c r="B23" i="28"/>
  <c r="Q23" i="28" s="1"/>
  <c r="Q17" i="28"/>
  <c r="B20" i="28"/>
  <c r="Q20" i="28" s="1"/>
  <c r="B27" i="28"/>
  <c r="Q27" i="28" s="1"/>
  <c r="B22" i="28"/>
  <c r="Q22" i="28" s="1"/>
  <c r="B24" i="28"/>
  <c r="Q24" i="28" s="1"/>
  <c r="B26" i="28"/>
  <c r="Q26" i="28" s="1"/>
  <c r="B21" i="28"/>
  <c r="Q21" i="28" s="1"/>
  <c r="B19" i="28"/>
  <c r="Q19" i="28" s="1"/>
  <c r="U54" i="5"/>
  <c r="V54" i="5" s="1"/>
  <c r="BD17" i="28" l="1"/>
  <c r="U53" i="5"/>
  <c r="V53" i="5" s="1"/>
  <c r="L50" i="5"/>
  <c r="M50" i="5" s="1"/>
  <c r="N50" i="5" s="1"/>
  <c r="O50" i="5" s="1"/>
  <c r="P50" i="5" s="1"/>
  <c r="Q50" i="5" s="1"/>
  <c r="U56" i="5"/>
  <c r="V56" i="5" s="1"/>
  <c r="L47" i="5"/>
  <c r="M47" i="5" s="1"/>
  <c r="N47" i="5" s="1"/>
  <c r="O47" i="5" s="1"/>
  <c r="P47" i="5" s="1"/>
  <c r="Q47" i="5" s="1"/>
  <c r="U50" i="5"/>
  <c r="V50" i="5" s="1"/>
  <c r="U55" i="5"/>
  <c r="V55" i="5" s="1"/>
  <c r="U49" i="5"/>
  <c r="V49" i="5" s="1"/>
  <c r="L46" i="5"/>
  <c r="U52" i="5"/>
  <c r="V52" i="5" s="1"/>
  <c r="U47" i="5"/>
  <c r="V47" i="5" s="1"/>
  <c r="V46" i="5"/>
  <c r="L49" i="5"/>
  <c r="M49" i="5" s="1"/>
  <c r="N49" i="5" s="1"/>
  <c r="O49" i="5" s="1"/>
  <c r="P49" i="5" s="1"/>
  <c r="Q49" i="5" s="1"/>
  <c r="U48" i="5"/>
  <c r="V48" i="5" s="1"/>
  <c r="L48" i="5"/>
  <c r="M48" i="5" s="1"/>
  <c r="N48" i="5" s="1"/>
  <c r="O48" i="5" s="1"/>
  <c r="P48" i="5" s="1"/>
  <c r="Q48" i="5" s="1"/>
  <c r="L66" i="5" l="1"/>
  <c r="L68" i="5" s="1"/>
  <c r="L58" i="5"/>
  <c r="Y64" i="5"/>
  <c r="Q181" i="15"/>
  <c r="O192" i="15"/>
  <c r="O198" i="15" s="1"/>
  <c r="Q191" i="15" s="1"/>
  <c r="Y194" i="15" s="1"/>
  <c r="M46" i="5"/>
  <c r="Z64" i="5"/>
  <c r="M66" i="5" l="1"/>
  <c r="M68" i="5" s="1"/>
  <c r="AW156" i="15"/>
  <c r="E152" i="15" s="1"/>
  <c r="AD142" i="15" s="1"/>
  <c r="Y182" i="15"/>
  <c r="M58" i="5"/>
  <c r="P74" i="15"/>
  <c r="AB129" i="28" s="1"/>
  <c r="X129" i="28" s="1"/>
  <c r="AB142" i="28"/>
  <c r="X142" i="28" s="1"/>
  <c r="AA64" i="5"/>
  <c r="N46" i="5"/>
  <c r="N66" i="5" s="1"/>
  <c r="AD144" i="15" l="1"/>
  <c r="AI144" i="15" s="1"/>
  <c r="AD145" i="15"/>
  <c r="AI145" i="15" s="1"/>
  <c r="AD147" i="15"/>
  <c r="AI147" i="15" s="1"/>
  <c r="AD146" i="15"/>
  <c r="AI146" i="15" s="1"/>
  <c r="Z127" i="30"/>
  <c r="X127" i="30" s="1"/>
  <c r="AB141" i="28"/>
  <c r="X141" i="28" s="1"/>
  <c r="V133" i="28"/>
  <c r="V131" i="28"/>
  <c r="W129" i="28"/>
  <c r="V129" i="28" s="1"/>
  <c r="N68" i="5"/>
  <c r="N58" i="5"/>
  <c r="O46" i="5"/>
  <c r="O66" i="5" s="1"/>
  <c r="AB64" i="5"/>
  <c r="Z122" i="30" l="1"/>
  <c r="X122" i="30" s="1"/>
  <c r="AB136" i="28"/>
  <c r="X136" i="28" s="1"/>
  <c r="Z123" i="30"/>
  <c r="X123" i="30" s="1"/>
  <c r="AB137" i="28"/>
  <c r="X137" i="28" s="1"/>
  <c r="Z121" i="30"/>
  <c r="X121" i="30" s="1"/>
  <c r="AB135" i="28"/>
  <c r="X135" i="28" s="1"/>
  <c r="Z120" i="30"/>
  <c r="X120" i="30" s="1"/>
  <c r="V124" i="30" s="1"/>
  <c r="AB134" i="28"/>
  <c r="X134" i="28" s="1"/>
  <c r="W134" i="28" s="1"/>
  <c r="V134" i="28" s="1"/>
  <c r="Z138" i="30"/>
  <c r="X138" i="30" s="1"/>
  <c r="W138" i="30" s="1"/>
  <c r="W139" i="30" s="1"/>
  <c r="W140" i="30" s="1"/>
  <c r="W141" i="30" s="1"/>
  <c r="W142" i="30" s="1"/>
  <c r="W143" i="30" s="1"/>
  <c r="AB152" i="28"/>
  <c r="X152" i="28" s="1"/>
  <c r="W127" i="30"/>
  <c r="W128" i="30" s="1"/>
  <c r="W129" i="30" s="1"/>
  <c r="W130" i="30" s="1"/>
  <c r="W131" i="30" s="1"/>
  <c r="W132" i="30" s="1"/>
  <c r="W133" i="30" s="1"/>
  <c r="W134" i="30" s="1"/>
  <c r="W135" i="30" s="1"/>
  <c r="V132" i="30"/>
  <c r="O58" i="5"/>
  <c r="O68" i="5"/>
  <c r="AC64" i="5"/>
  <c r="P46" i="5"/>
  <c r="P66" i="5" s="1"/>
  <c r="W120" i="30" l="1"/>
  <c r="W121" i="30" s="1"/>
  <c r="W122" i="30" s="1"/>
  <c r="W123" i="30" s="1"/>
  <c r="W124" i="30" s="1"/>
  <c r="W125" i="30" s="1"/>
  <c r="S127" i="28"/>
  <c r="W135" i="28"/>
  <c r="V135" i="28" s="1"/>
  <c r="P58" i="5"/>
  <c r="P68" i="5"/>
  <c r="Q46" i="5"/>
  <c r="Q66" i="5" s="1"/>
  <c r="AD64" i="5"/>
  <c r="W136" i="28" l="1"/>
  <c r="V136" i="28" s="1"/>
  <c r="Q58" i="5"/>
  <c r="Q68" i="5"/>
  <c r="AE64" i="5"/>
  <c r="W137" i="28" l="1"/>
  <c r="V137" i="28" s="1"/>
  <c r="W138" i="28"/>
  <c r="V138" i="28" l="1"/>
  <c r="W139" i="28"/>
  <c r="T29" i="18"/>
  <c r="W140" i="28" l="1"/>
  <c r="V139" i="28"/>
  <c r="AO52" i="28"/>
  <c r="AO55" i="28" s="1"/>
  <c r="AB55" i="28" s="1"/>
  <c r="X55" i="28" s="1"/>
  <c r="AO52" i="30"/>
  <c r="AO55" i="30" s="1"/>
  <c r="X57" i="28"/>
  <c r="X56" i="28"/>
  <c r="X54" i="28"/>
  <c r="X53" i="28"/>
  <c r="W148" i="28"/>
  <c r="X51" i="28"/>
  <c r="X50" i="28"/>
  <c r="X52" i="28"/>
  <c r="V140" i="28" l="1"/>
  <c r="W141" i="28"/>
  <c r="Z54" i="30"/>
  <c r="X54" i="30" s="1"/>
  <c r="V55" i="30" s="1"/>
  <c r="V125" i="30"/>
  <c r="V97" i="30"/>
  <c r="V127" i="30"/>
  <c r="V169" i="30"/>
  <c r="V159" i="30"/>
  <c r="V164" i="30"/>
  <c r="V166" i="30"/>
  <c r="V163" i="30"/>
  <c r="V162" i="30"/>
  <c r="V161" i="30"/>
  <c r="V165" i="30"/>
  <c r="V158" i="30"/>
  <c r="V160" i="30"/>
  <c r="V167" i="30"/>
  <c r="V157" i="30"/>
  <c r="V77" i="30"/>
  <c r="V123" i="30"/>
  <c r="V122" i="30"/>
  <c r="V104" i="30"/>
  <c r="V110" i="30"/>
  <c r="V109" i="30"/>
  <c r="S49" i="28"/>
  <c r="V148" i="28"/>
  <c r="W149" i="28"/>
  <c r="W50" i="28"/>
  <c r="V50" i="28" s="1"/>
  <c r="V130" i="30" l="1"/>
  <c r="V121" i="30"/>
  <c r="V143" i="30"/>
  <c r="V78" i="30"/>
  <c r="V131" i="30"/>
  <c r="V120" i="30"/>
  <c r="V138" i="30"/>
  <c r="V115" i="30"/>
  <c r="V174" i="30"/>
  <c r="V173" i="30"/>
  <c r="V139" i="30"/>
  <c r="V140" i="30"/>
  <c r="V142" i="30"/>
  <c r="V141" i="30"/>
  <c r="V58" i="30"/>
  <c r="V103" i="30"/>
  <c r="V68" i="30"/>
  <c r="V59" i="30"/>
  <c r="V87" i="30"/>
  <c r="V57" i="30"/>
  <c r="V60" i="30"/>
  <c r="V112" i="30"/>
  <c r="V96" i="30"/>
  <c r="V129" i="30"/>
  <c r="V56" i="30"/>
  <c r="W142" i="28"/>
  <c r="V141" i="28"/>
  <c r="V128" i="30"/>
  <c r="V135" i="30"/>
  <c r="V113" i="30"/>
  <c r="V133" i="30"/>
  <c r="W54" i="30"/>
  <c r="W55" i="30" s="1"/>
  <c r="W56" i="30" s="1"/>
  <c r="W57" i="30" s="1"/>
  <c r="W58" i="30" s="1"/>
  <c r="W59" i="30" s="1"/>
  <c r="W60" i="30" s="1"/>
  <c r="V134" i="30"/>
  <c r="V137" i="30"/>
  <c r="V54" i="30"/>
  <c r="V149" i="28"/>
  <c r="W150" i="28"/>
  <c r="W51" i="28"/>
  <c r="V51" i="28" s="1"/>
  <c r="W143" i="28" l="1"/>
  <c r="V142" i="28"/>
  <c r="V150" i="28"/>
  <c r="W151" i="28"/>
  <c r="W52" i="28"/>
  <c r="V52" i="28" s="1"/>
  <c r="V143" i="28" l="1"/>
  <c r="W144" i="28"/>
  <c r="V151" i="28"/>
  <c r="W152" i="28"/>
  <c r="V152" i="28" s="1"/>
  <c r="W53" i="28"/>
  <c r="V144" i="28" l="1"/>
  <c r="W145" i="28"/>
  <c r="V53" i="28"/>
  <c r="W54" i="28"/>
  <c r="V145" i="28" l="1"/>
  <c r="W146" i="28"/>
  <c r="V54" i="28"/>
  <c r="W55" i="28"/>
  <c r="V146" i="28" l="1"/>
  <c r="W147" i="28"/>
  <c r="V147" i="28" s="1"/>
  <c r="V55" i="28"/>
  <c r="W56" i="28"/>
  <c r="U131" i="28" l="1"/>
  <c r="U139" i="28"/>
  <c r="U142" i="28"/>
  <c r="U145" i="28"/>
  <c r="U150" i="28"/>
  <c r="U133" i="28"/>
  <c r="U135" i="28"/>
  <c r="U140" i="28"/>
  <c r="T127" i="28"/>
  <c r="B109" i="28" s="1"/>
  <c r="U143" i="28"/>
  <c r="U149" i="28"/>
  <c r="U134" i="28"/>
  <c r="U138" i="28"/>
  <c r="U141" i="28"/>
  <c r="U129" i="28"/>
  <c r="U148" i="28"/>
  <c r="U151" i="28"/>
  <c r="U152" i="28"/>
  <c r="U132" i="28"/>
  <c r="U137" i="28"/>
  <c r="U127" i="28"/>
  <c r="U130" i="28"/>
  <c r="U147" i="28"/>
  <c r="U144" i="28"/>
  <c r="U136" i="28"/>
  <c r="U146" i="28"/>
  <c r="U128" i="28"/>
  <c r="V56" i="28"/>
  <c r="W57" i="28"/>
  <c r="B122" i="28" l="1"/>
  <c r="B112" i="28"/>
  <c r="B107" i="28"/>
  <c r="B119" i="28"/>
  <c r="B106" i="28"/>
  <c r="B127" i="28"/>
  <c r="B115" i="28"/>
  <c r="B121" i="28"/>
  <c r="B103" i="28"/>
  <c r="B118" i="28"/>
  <c r="B105" i="28"/>
  <c r="B124" i="28"/>
  <c r="B114" i="28"/>
  <c r="B113" i="28"/>
  <c r="B108" i="28"/>
  <c r="B117" i="28"/>
  <c r="B126" i="28"/>
  <c r="B111" i="28"/>
  <c r="B128" i="28"/>
  <c r="B123" i="28"/>
  <c r="B102" i="28"/>
  <c r="B125" i="28"/>
  <c r="B104" i="28"/>
  <c r="B120" i="28"/>
  <c r="B110" i="28"/>
  <c r="B116" i="28"/>
  <c r="V57" i="28"/>
  <c r="W58" i="28"/>
  <c r="BD93" i="28" l="1"/>
  <c r="V58" i="28"/>
  <c r="W59" i="28"/>
  <c r="V59" i="28" l="1"/>
  <c r="W60" i="28"/>
  <c r="V60" i="28" s="1"/>
  <c r="U51" i="28" l="1"/>
  <c r="U57" i="28"/>
  <c r="U58" i="28"/>
  <c r="U59" i="28"/>
  <c r="U56" i="28"/>
  <c r="U60" i="28"/>
  <c r="U54" i="28"/>
  <c r="U55" i="28"/>
  <c r="U49" i="28"/>
  <c r="U50" i="28"/>
  <c r="U53" i="28"/>
  <c r="T49" i="28"/>
  <c r="AC49" i="28" s="1"/>
  <c r="U52" i="28"/>
  <c r="AC50" i="28" l="1"/>
  <c r="B50" i="28" s="1"/>
  <c r="AC53" i="28"/>
  <c r="B53" i="28" s="1"/>
  <c r="AC57" i="28"/>
  <c r="B57" i="28" s="1"/>
  <c r="AC51" i="28"/>
  <c r="B51" i="28" s="1"/>
  <c r="AC58" i="28"/>
  <c r="B58" i="28" s="1"/>
  <c r="B49" i="28"/>
  <c r="AC56" i="28"/>
  <c r="B56" i="28" s="1"/>
  <c r="AC54" i="28"/>
  <c r="B54" i="28" s="1"/>
  <c r="AC55" i="28"/>
  <c r="B55" i="28" s="1"/>
  <c r="AC59" i="28"/>
  <c r="B59" i="28" s="1"/>
  <c r="AC52" i="28"/>
  <c r="B52" i="28" s="1"/>
  <c r="AC60" i="28"/>
  <c r="B60" i="28" s="1"/>
  <c r="BD49" i="28" l="1"/>
  <c r="W149" i="30" l="1"/>
  <c r="AZ141" i="30"/>
  <c r="Z147" i="30" s="1"/>
  <c r="X147" i="30" s="1"/>
  <c r="W147" i="30" s="1"/>
  <c r="BA141" i="30" l="1"/>
  <c r="Z153" i="30" s="1"/>
  <c r="X153" i="30" s="1"/>
  <c r="W153" i="30" s="1"/>
  <c r="Z144" i="30"/>
  <c r="X144" i="30" s="1"/>
  <c r="Z145" i="30"/>
  <c r="X145" i="30" s="1"/>
  <c r="X152" i="30"/>
  <c r="X151" i="30"/>
  <c r="V147" i="30"/>
  <c r="BC141" i="30" l="1"/>
  <c r="Z156" i="30"/>
  <c r="X156" i="30" s="1"/>
  <c r="W156" i="30" s="1"/>
  <c r="W157" i="30" s="1"/>
  <c r="W158" i="30" s="1"/>
  <c r="W159" i="30" s="1"/>
  <c r="W160" i="30" s="1"/>
  <c r="W161" i="30" s="1"/>
  <c r="W162" i="30" s="1"/>
  <c r="W163" i="30" s="1"/>
  <c r="W164" i="30" s="1"/>
  <c r="W165" i="30" s="1"/>
  <c r="W166" i="30" s="1"/>
  <c r="W167" i="30" s="1"/>
  <c r="W168" i="30" s="1"/>
  <c r="W169" i="30" s="1"/>
  <c r="W170" i="30" s="1"/>
  <c r="W171" i="30" s="1"/>
  <c r="W172" i="30" s="1"/>
  <c r="W173" i="30" s="1"/>
  <c r="W174" i="30" s="1"/>
  <c r="Z148" i="30"/>
  <c r="X148" i="30" s="1"/>
  <c r="V148" i="30" s="1"/>
  <c r="V153" i="30"/>
  <c r="Z146" i="30"/>
  <c r="X146" i="30" s="1"/>
  <c r="W146" i="30" s="1"/>
  <c r="Z155" i="30"/>
  <c r="X155" i="30" s="1"/>
  <c r="V155" i="30" s="1"/>
  <c r="Z154" i="30"/>
  <c r="X154" i="30" s="1"/>
  <c r="W154" i="30" s="1"/>
  <c r="V145" i="30"/>
  <c r="W145" i="30"/>
  <c r="W144" i="30"/>
  <c r="V144" i="30"/>
  <c r="W151" i="30"/>
  <c r="W152" i="30" s="1"/>
  <c r="V151" i="30"/>
  <c r="V152" i="30"/>
  <c r="V171" i="30" l="1"/>
  <c r="V172" i="30"/>
  <c r="V156" i="30"/>
  <c r="V154" i="30"/>
  <c r="W155" i="30"/>
  <c r="W148" i="30"/>
  <c r="V146" i="30"/>
  <c r="M98" i="33" l="1"/>
  <c r="Z175" i="30" l="1"/>
  <c r="X175" i="30" s="1"/>
  <c r="V176" i="30" l="1"/>
  <c r="S17" i="30"/>
  <c r="V175" i="30"/>
  <c r="W175" i="30"/>
  <c r="W176" i="30" s="1"/>
  <c r="R147" i="33"/>
  <c r="S148" i="33"/>
  <c r="U162" i="30" l="1"/>
  <c r="U47" i="30"/>
  <c r="U153" i="30"/>
  <c r="U91" i="30"/>
  <c r="U61" i="30"/>
  <c r="U83" i="30"/>
  <c r="U52" i="30"/>
  <c r="U51" i="30"/>
  <c r="U92" i="30"/>
  <c r="U164" i="30"/>
  <c r="U125" i="30"/>
  <c r="U21" i="30"/>
  <c r="U18" i="30"/>
  <c r="U44" i="30"/>
  <c r="U128" i="30"/>
  <c r="U113" i="30"/>
  <c r="U123" i="30"/>
  <c r="U105" i="30"/>
  <c r="U124" i="30"/>
  <c r="U132" i="30"/>
  <c r="U84" i="30"/>
  <c r="U114" i="30"/>
  <c r="U60" i="30"/>
  <c r="U70" i="30"/>
  <c r="U95" i="30"/>
  <c r="U75" i="30"/>
  <c r="U76" i="30"/>
  <c r="U42" i="30"/>
  <c r="U160" i="30"/>
  <c r="U87" i="30"/>
  <c r="U39" i="30"/>
  <c r="U151" i="30"/>
  <c r="U108" i="30"/>
  <c r="U89" i="30"/>
  <c r="U122" i="30"/>
  <c r="U38" i="30"/>
  <c r="U152" i="30"/>
  <c r="U45" i="30"/>
  <c r="U171" i="30"/>
  <c r="U32" i="30"/>
  <c r="U94" i="30"/>
  <c r="U111" i="30"/>
  <c r="U64" i="30"/>
  <c r="U77" i="30"/>
  <c r="U126" i="30"/>
  <c r="U140" i="30"/>
  <c r="U154" i="30"/>
  <c r="U28" i="30"/>
  <c r="U63" i="30"/>
  <c r="U80" i="30"/>
  <c r="U85" i="30"/>
  <c r="U68" i="30"/>
  <c r="U118" i="30"/>
  <c r="U37" i="30"/>
  <c r="U115" i="30"/>
  <c r="U90" i="30"/>
  <c r="U127" i="30"/>
  <c r="U59" i="30"/>
  <c r="U43" i="30"/>
  <c r="U74" i="30"/>
  <c r="U101" i="30"/>
  <c r="U175" i="30"/>
  <c r="U96" i="30"/>
  <c r="U29" i="30"/>
  <c r="U137" i="30"/>
  <c r="U159" i="30"/>
  <c r="U49" i="30"/>
  <c r="U141" i="30"/>
  <c r="U23" i="30"/>
  <c r="U46" i="30"/>
  <c r="U100" i="30"/>
  <c r="U172" i="30"/>
  <c r="U103" i="30"/>
  <c r="U143" i="30"/>
  <c r="U35" i="30"/>
  <c r="U81" i="30"/>
  <c r="U48" i="30"/>
  <c r="U117" i="30"/>
  <c r="U135" i="30"/>
  <c r="U66" i="30"/>
  <c r="U173" i="30"/>
  <c r="U165" i="30"/>
  <c r="U156" i="30"/>
  <c r="U97" i="30"/>
  <c r="U57" i="30"/>
  <c r="U99" i="30"/>
  <c r="U138" i="30"/>
  <c r="U34" i="30"/>
  <c r="U144" i="30"/>
  <c r="U148" i="30"/>
  <c r="U139" i="30"/>
  <c r="U147" i="30"/>
  <c r="U86" i="30"/>
  <c r="U50" i="30"/>
  <c r="U121" i="30"/>
  <c r="U106" i="30"/>
  <c r="U161" i="30"/>
  <c r="U78" i="30"/>
  <c r="U36" i="30"/>
  <c r="U176" i="30"/>
  <c r="U167" i="30"/>
  <c r="U25" i="30"/>
  <c r="U22" i="30"/>
  <c r="U136" i="30"/>
  <c r="U72" i="30"/>
  <c r="U27" i="30"/>
  <c r="U145" i="30"/>
  <c r="U133" i="30"/>
  <c r="U129" i="30"/>
  <c r="T17" i="30"/>
  <c r="B53" i="30" s="1"/>
  <c r="O53" i="30" s="1"/>
  <c r="U149" i="30"/>
  <c r="U54" i="30"/>
  <c r="U73" i="30"/>
  <c r="U19" i="30"/>
  <c r="U67" i="30"/>
  <c r="U146" i="30"/>
  <c r="U163" i="30"/>
  <c r="U104" i="30"/>
  <c r="U109" i="30"/>
  <c r="U158" i="30"/>
  <c r="U110" i="30"/>
  <c r="U169" i="30"/>
  <c r="U174" i="30"/>
  <c r="U107" i="30"/>
  <c r="U102" i="30"/>
  <c r="U24" i="30"/>
  <c r="U170" i="30"/>
  <c r="U33" i="30"/>
  <c r="U56" i="30"/>
  <c r="U166" i="30"/>
  <c r="U116" i="30"/>
  <c r="U26" i="30"/>
  <c r="U55" i="30"/>
  <c r="U20" i="30"/>
  <c r="U79" i="30"/>
  <c r="U98" i="30"/>
  <c r="U62" i="30"/>
  <c r="U131" i="30"/>
  <c r="U130" i="30"/>
  <c r="U134" i="30"/>
  <c r="U112" i="30"/>
  <c r="U150" i="30"/>
  <c r="U40" i="30"/>
  <c r="U65" i="30"/>
  <c r="U82" i="30"/>
  <c r="U88" i="30"/>
  <c r="U142" i="30"/>
  <c r="U120" i="30"/>
  <c r="U31" i="30"/>
  <c r="U41" i="30"/>
  <c r="U53" i="30"/>
  <c r="U157" i="30"/>
  <c r="U58" i="30"/>
  <c r="U71" i="30"/>
  <c r="U93" i="30"/>
  <c r="U69" i="30"/>
  <c r="U168" i="30"/>
  <c r="U30" i="30"/>
  <c r="U17" i="30"/>
  <c r="U155" i="30"/>
  <c r="U119" i="30"/>
  <c r="B49" i="30"/>
  <c r="B127" i="30" l="1"/>
  <c r="O127" i="30" s="1"/>
  <c r="B59" i="30"/>
  <c r="O59" i="30" s="1"/>
  <c r="B132" i="30"/>
  <c r="O132" i="30" s="1"/>
  <c r="B113" i="30"/>
  <c r="O113" i="30" s="1"/>
  <c r="B150" i="30"/>
  <c r="O150" i="30" s="1"/>
  <c r="B139" i="30"/>
  <c r="O139" i="30" s="1"/>
  <c r="B86" i="30"/>
  <c r="O86" i="30" s="1"/>
  <c r="B152" i="30"/>
  <c r="O152" i="30" s="1"/>
  <c r="B24" i="30"/>
  <c r="Q24" i="30" s="1"/>
  <c r="B95" i="30"/>
  <c r="O95" i="30" s="1"/>
  <c r="B100" i="30"/>
  <c r="O100" i="30" s="1"/>
  <c r="B107" i="30"/>
  <c r="O107" i="30" s="1"/>
  <c r="B120" i="30"/>
  <c r="O120" i="30" s="1"/>
  <c r="B45" i="30"/>
  <c r="O45" i="30" s="1"/>
  <c r="B134" i="30"/>
  <c r="O134" i="30" s="1"/>
  <c r="B70" i="30"/>
  <c r="O70" i="30" s="1"/>
  <c r="B161" i="30"/>
  <c r="O161" i="30" s="1"/>
  <c r="B97" i="30"/>
  <c r="O97" i="30" s="1"/>
  <c r="B38" i="30"/>
  <c r="O38" i="30" s="1"/>
  <c r="B43" i="30"/>
  <c r="O43" i="30" s="1"/>
  <c r="B60" i="30"/>
  <c r="O60" i="30" s="1"/>
  <c r="B72" i="30"/>
  <c r="O72" i="30" s="1"/>
  <c r="B88" i="30"/>
  <c r="O88" i="30" s="1"/>
  <c r="B29" i="30"/>
  <c r="O29" i="30" s="1"/>
  <c r="B118" i="30"/>
  <c r="O118" i="30" s="1"/>
  <c r="B54" i="30"/>
  <c r="O54" i="30" s="1"/>
  <c r="B145" i="30"/>
  <c r="O145" i="30" s="1"/>
  <c r="B81" i="30"/>
  <c r="O81" i="30" s="1"/>
  <c r="B159" i="30"/>
  <c r="O159" i="30" s="1"/>
  <c r="B164" i="30"/>
  <c r="O164" i="30" s="1"/>
  <c r="B18" i="30"/>
  <c r="Q18" i="30" s="1"/>
  <c r="B31" i="30"/>
  <c r="O31" i="30" s="1"/>
  <c r="B75" i="30"/>
  <c r="O75" i="30" s="1"/>
  <c r="B166" i="30"/>
  <c r="O166" i="30" s="1"/>
  <c r="B102" i="30"/>
  <c r="O102" i="30" s="1"/>
  <c r="B40" i="30"/>
  <c r="O40" i="30" s="1"/>
  <c r="B129" i="30"/>
  <c r="O129" i="30" s="1"/>
  <c r="B65" i="30"/>
  <c r="O65" i="30" s="1"/>
  <c r="B30" i="30"/>
  <c r="O30" i="30" s="1"/>
  <c r="B151" i="30"/>
  <c r="O151" i="30" s="1"/>
  <c r="B119" i="30"/>
  <c r="O119" i="30" s="1"/>
  <c r="B87" i="30"/>
  <c r="O87" i="30" s="1"/>
  <c r="B35" i="30"/>
  <c r="O35" i="30" s="1"/>
  <c r="B156" i="30"/>
  <c r="O156" i="30" s="1"/>
  <c r="B124" i="30"/>
  <c r="O124" i="30" s="1"/>
  <c r="B92" i="30"/>
  <c r="O92" i="30" s="1"/>
  <c r="B42" i="30"/>
  <c r="O42" i="30" s="1"/>
  <c r="B163" i="30"/>
  <c r="O163" i="30" s="1"/>
  <c r="B131" i="30"/>
  <c r="B99" i="30"/>
  <c r="O99" i="30" s="1"/>
  <c r="B56" i="30"/>
  <c r="O56" i="30" s="1"/>
  <c r="B23" i="30"/>
  <c r="O23" i="30" s="1"/>
  <c r="B144" i="30"/>
  <c r="O144" i="30" s="1"/>
  <c r="B112" i="30"/>
  <c r="O112" i="30" s="1"/>
  <c r="B80" i="30"/>
  <c r="O80" i="30" s="1"/>
  <c r="B71" i="30"/>
  <c r="O71" i="30" s="1"/>
  <c r="B55" i="30"/>
  <c r="O55" i="30" s="1"/>
  <c r="B41" i="30"/>
  <c r="O41" i="30" s="1"/>
  <c r="B25" i="30"/>
  <c r="Q25" i="30" s="1"/>
  <c r="B162" i="30"/>
  <c r="O162" i="30" s="1"/>
  <c r="B146" i="30"/>
  <c r="O146" i="30" s="1"/>
  <c r="B130" i="30"/>
  <c r="O130" i="30" s="1"/>
  <c r="B114" i="30"/>
  <c r="O114" i="30" s="1"/>
  <c r="B98" i="30"/>
  <c r="O98" i="30" s="1"/>
  <c r="B82" i="30"/>
  <c r="O82" i="30" s="1"/>
  <c r="B66" i="30"/>
  <c r="O66" i="30" s="1"/>
  <c r="B50" i="30"/>
  <c r="O50" i="30" s="1"/>
  <c r="B36" i="30"/>
  <c r="O36" i="30" s="1"/>
  <c r="B20" i="30"/>
  <c r="Q20" i="30" s="1"/>
  <c r="B157" i="30"/>
  <c r="O157" i="30" s="1"/>
  <c r="B141" i="30"/>
  <c r="O141" i="30" s="1"/>
  <c r="B125" i="30"/>
  <c r="O125" i="30" s="1"/>
  <c r="B109" i="30"/>
  <c r="O109" i="30" s="1"/>
  <c r="B93" i="30"/>
  <c r="O93" i="30" s="1"/>
  <c r="B77" i="30"/>
  <c r="O77" i="30" s="1"/>
  <c r="B61" i="30"/>
  <c r="O61" i="30" s="1"/>
  <c r="B111" i="30"/>
  <c r="O111" i="30" s="1"/>
  <c r="B27" i="30"/>
  <c r="O27" i="30" s="1"/>
  <c r="B116" i="30"/>
  <c r="O116" i="30" s="1"/>
  <c r="B34" i="30"/>
  <c r="O34" i="30" s="1"/>
  <c r="B123" i="30"/>
  <c r="O123" i="30" s="1"/>
  <c r="B47" i="30"/>
  <c r="O47" i="30" s="1"/>
  <c r="B136" i="30"/>
  <c r="O136" i="30" s="1"/>
  <c r="B68" i="30"/>
  <c r="O68" i="30" s="1"/>
  <c r="B37" i="30"/>
  <c r="O37" i="30" s="1"/>
  <c r="B142" i="30"/>
  <c r="O142" i="30" s="1"/>
  <c r="B110" i="30"/>
  <c r="O110" i="30" s="1"/>
  <c r="B62" i="30"/>
  <c r="O62" i="30" s="1"/>
  <c r="B48" i="30"/>
  <c r="O48" i="30" s="1"/>
  <c r="B32" i="30"/>
  <c r="O32" i="30" s="1"/>
  <c r="B153" i="30"/>
  <c r="O153" i="30" s="1"/>
  <c r="B137" i="30"/>
  <c r="O137" i="30" s="1"/>
  <c r="B121" i="30"/>
  <c r="O121" i="30" s="1"/>
  <c r="B105" i="30"/>
  <c r="O105" i="30" s="1"/>
  <c r="B89" i="30"/>
  <c r="O89" i="30" s="1"/>
  <c r="B73" i="30"/>
  <c r="O73" i="30" s="1"/>
  <c r="B57" i="30"/>
  <c r="O57" i="30" s="1"/>
  <c r="B22" i="30"/>
  <c r="Q22" i="30" s="1"/>
  <c r="B143" i="30"/>
  <c r="O143" i="30" s="1"/>
  <c r="B79" i="30"/>
  <c r="O79" i="30" s="1"/>
  <c r="B148" i="30"/>
  <c r="O148" i="30" s="1"/>
  <c r="B84" i="30"/>
  <c r="O84" i="30" s="1"/>
  <c r="B155" i="30"/>
  <c r="O155" i="30" s="1"/>
  <c r="B91" i="30"/>
  <c r="O91" i="30" s="1"/>
  <c r="B168" i="30"/>
  <c r="O168" i="30" s="1"/>
  <c r="B104" i="30"/>
  <c r="O104" i="30" s="1"/>
  <c r="B67" i="30"/>
  <c r="O67" i="30" s="1"/>
  <c r="B51" i="30"/>
  <c r="O51" i="30" s="1"/>
  <c r="B21" i="30"/>
  <c r="O21" i="30" s="1"/>
  <c r="B158" i="30"/>
  <c r="O158" i="30" s="1"/>
  <c r="B126" i="30"/>
  <c r="O126" i="30" s="1"/>
  <c r="B94" i="30"/>
  <c r="O94" i="30" s="1"/>
  <c r="B78" i="30"/>
  <c r="O78" i="30" s="1"/>
  <c r="B169" i="30"/>
  <c r="O169" i="30" s="1"/>
  <c r="B46" i="30"/>
  <c r="BD46" i="30" s="1"/>
  <c r="B167" i="30"/>
  <c r="O167" i="30" s="1"/>
  <c r="B135" i="30"/>
  <c r="O135" i="30" s="1"/>
  <c r="B103" i="30"/>
  <c r="O103" i="30" s="1"/>
  <c r="B64" i="30"/>
  <c r="O64" i="30" s="1"/>
  <c r="B19" i="30"/>
  <c r="O19" i="30" s="1"/>
  <c r="B140" i="30"/>
  <c r="O140" i="30" s="1"/>
  <c r="B108" i="30"/>
  <c r="O108" i="30" s="1"/>
  <c r="B76" i="30"/>
  <c r="O76" i="30" s="1"/>
  <c r="B26" i="30"/>
  <c r="O26" i="30" s="1"/>
  <c r="B147" i="30"/>
  <c r="O147" i="30" s="1"/>
  <c r="B115" i="30"/>
  <c r="O115" i="30" s="1"/>
  <c r="B83" i="30"/>
  <c r="O83" i="30" s="1"/>
  <c r="B39" i="30"/>
  <c r="O39" i="30" s="1"/>
  <c r="B160" i="30"/>
  <c r="O160" i="30" s="1"/>
  <c r="B128" i="30"/>
  <c r="O128" i="30" s="1"/>
  <c r="B96" i="30"/>
  <c r="O96" i="30" s="1"/>
  <c r="B52" i="30"/>
  <c r="O52" i="30" s="1"/>
  <c r="B63" i="30"/>
  <c r="O63" i="30" s="1"/>
  <c r="B17" i="30"/>
  <c r="O17" i="30" s="1"/>
  <c r="B33" i="30"/>
  <c r="O33" i="30" s="1"/>
  <c r="B170" i="30"/>
  <c r="O170" i="30" s="1"/>
  <c r="B154" i="30"/>
  <c r="O154" i="30" s="1"/>
  <c r="B138" i="30"/>
  <c r="O138" i="30" s="1"/>
  <c r="B122" i="30"/>
  <c r="O122" i="30" s="1"/>
  <c r="B106" i="30"/>
  <c r="O106" i="30" s="1"/>
  <c r="B90" i="30"/>
  <c r="O90" i="30" s="1"/>
  <c r="B74" i="30"/>
  <c r="O74" i="30" s="1"/>
  <c r="B58" i="30"/>
  <c r="O58" i="30" s="1"/>
  <c r="B44" i="30"/>
  <c r="O44" i="30" s="1"/>
  <c r="B28" i="30"/>
  <c r="O28" i="30" s="1"/>
  <c r="B165" i="30"/>
  <c r="O165" i="30" s="1"/>
  <c r="B149" i="30"/>
  <c r="O149" i="30" s="1"/>
  <c r="B133" i="30"/>
  <c r="O133" i="30" s="1"/>
  <c r="B117" i="30"/>
  <c r="O117" i="30" s="1"/>
  <c r="B101" i="30"/>
  <c r="O101" i="30" s="1"/>
  <c r="B85" i="30"/>
  <c r="O85" i="30" s="1"/>
  <c r="B69" i="30"/>
  <c r="O69" i="30" s="1"/>
  <c r="O20" i="30"/>
  <c r="O49" i="30"/>
  <c r="O25" i="30" l="1"/>
  <c r="O18" i="30"/>
  <c r="Q27" i="30"/>
  <c r="O22" i="30"/>
  <c r="Q23" i="30"/>
  <c r="BD30" i="30"/>
  <c r="Q17" i="30"/>
  <c r="O46" i="30"/>
  <c r="Q19" i="30"/>
  <c r="O24" i="30"/>
  <c r="BD115" i="30"/>
  <c r="BD49" i="30"/>
  <c r="BD67" i="30"/>
  <c r="Q26" i="30"/>
  <c r="O131" i="30"/>
  <c r="BD17" i="30"/>
  <c r="Q21" i="30"/>
  <c r="BD93" i="30"/>
  <c r="P16" i="30" l="1"/>
  <c r="B12" i="30" s="1"/>
</calcChain>
</file>

<file path=xl/comments1.xml><?xml version="1.0" encoding="utf-8"?>
<comments xmlns="http://schemas.openxmlformats.org/spreadsheetml/2006/main">
  <authors>
    <author>Craig Horton</author>
  </authors>
  <commentList>
    <comment ref="F17" authorId="0" shapeId="0">
      <text>
        <r>
          <rPr>
            <sz val="9"/>
            <color indexed="81"/>
            <rFont val="Arial"/>
            <family val="2"/>
          </rPr>
          <t>Market Rate is determined by the Seattle FHLB and must not be changed.</t>
        </r>
      </text>
    </comment>
    <comment ref="F18" authorId="0" shapeId="0">
      <text>
        <r>
          <rPr>
            <sz val="9"/>
            <color indexed="81"/>
            <rFont val="Arial"/>
            <family val="2"/>
          </rPr>
          <t>Sponsor Note/Mortgage Amount is the total combined mortgage amount for each unit in the project calculated on Attachment D - Owner-Occupied Housing Expense Worksheet.</t>
        </r>
      </text>
    </comment>
    <comment ref="F19" authorId="0" shapeId="0">
      <text>
        <r>
          <rPr>
            <sz val="9"/>
            <color indexed="8"/>
            <rFont val="Arial"/>
            <family val="2"/>
          </rPr>
          <t>Mortgage Term expressed in months as calculated on Attachment D - Owner-occupied Housing Expense Worksheet.</t>
        </r>
      </text>
    </comment>
    <comment ref="M20" authorId="0" shapeId="0">
      <text>
        <r>
          <rPr>
            <sz val="9"/>
            <color indexed="81"/>
            <rFont val="Arial"/>
            <family val="2"/>
          </rPr>
          <t>Present Value of Sponsor 1st Mortgage will be automatically entered from the amount calculated in Section A.</t>
        </r>
      </text>
    </comment>
    <comment ref="M33" authorId="0" shapeId="0">
      <text>
        <r>
          <rPr>
            <sz val="9"/>
            <color indexed="8"/>
            <rFont val="Arial"/>
            <family val="2"/>
          </rPr>
          <t>Funding Gap (AHP subsidy request) calculates automatically by subtracting the Total Sources Excluding AHP from the Total Cash Cost of the Project.  This amount represents the maximum AHP subsidy that may be requested for the Project.  The AHP grant amount will be re-evaluated, on the basis of the final worksheet before disbursement of AHP funds and upon project completion.</t>
        </r>
      </text>
    </comment>
    <comment ref="M35" authorId="0" shapeId="0">
      <text>
        <r>
          <rPr>
            <sz val="9"/>
            <color indexed="81"/>
            <rFont val="Arial"/>
            <family val="2"/>
          </rPr>
          <t>Total Sources calculates automatically by adding the total Cash Sources (D1) and Funding Gap (AHP subsidy request) (E). 
Total Uses is calculated by adding the Total In-Kind Costs (C2) and Total Cash Cost of the Project (D2).  The total sources and uses of funds must be equal.</t>
        </r>
      </text>
    </comment>
  </commentList>
</comments>
</file>

<file path=xl/sharedStrings.xml><?xml version="1.0" encoding="utf-8"?>
<sst xmlns="http://schemas.openxmlformats.org/spreadsheetml/2006/main" count="2521" uniqueCount="1333">
  <si>
    <t>Gross Income</t>
  </si>
  <si>
    <t>Key Expenses</t>
  </si>
  <si>
    <t>Insurance</t>
  </si>
  <si>
    <t>Replacement Reserve</t>
  </si>
  <si>
    <t>Operating Reserve</t>
  </si>
  <si>
    <t>Total Operating Expenses</t>
  </si>
  <si>
    <t>Real Estate Taxes</t>
  </si>
  <si>
    <t>Debt Coverage Ratio</t>
  </si>
  <si>
    <t>Year 1</t>
  </si>
  <si>
    <t>Year 2</t>
  </si>
  <si>
    <t>Year 3</t>
  </si>
  <si>
    <t>Year 4</t>
  </si>
  <si>
    <t>Year 5</t>
  </si>
  <si>
    <t>Year 10</t>
  </si>
  <si>
    <t>Year 15</t>
  </si>
  <si>
    <t>SRO</t>
  </si>
  <si>
    <t>None</t>
  </si>
  <si>
    <t>Vacancy Allowance</t>
  </si>
  <si>
    <t>Replacement Reserves</t>
  </si>
  <si>
    <t>Operating Reserves</t>
  </si>
  <si>
    <t>A</t>
  </si>
  <si>
    <t>B</t>
  </si>
  <si>
    <t xml:space="preserve">Mortgage Term (months) </t>
  </si>
  <si>
    <t>C</t>
  </si>
  <si>
    <t>D</t>
  </si>
  <si>
    <t>Construction</t>
  </si>
  <si>
    <t>E</t>
  </si>
  <si>
    <t>Source</t>
  </si>
  <si>
    <t>Type</t>
  </si>
  <si>
    <t>Status</t>
  </si>
  <si>
    <t>Construction Financing:</t>
  </si>
  <si>
    <t>Permanent Financing:</t>
  </si>
  <si>
    <t>Total Development Cost</t>
  </si>
  <si>
    <t>Other</t>
  </si>
  <si>
    <t>Appraisal</t>
  </si>
  <si>
    <t>Legal</t>
  </si>
  <si>
    <t>TOTAL DEVELOPMENT COSTS</t>
  </si>
  <si>
    <t>On-site Management</t>
  </si>
  <si>
    <t>Off-site Management</t>
  </si>
  <si>
    <t>3% of gross rental income</t>
  </si>
  <si>
    <t>7% of gross rental income</t>
  </si>
  <si>
    <t>$350/unit/year</t>
  </si>
  <si>
    <t>$300/unit/year</t>
  </si>
  <si>
    <t>Maintenance &amp; Repairs</t>
  </si>
  <si>
    <t>Feasibility Analysis</t>
  </si>
  <si>
    <t>Sponsor Provided Financing</t>
  </si>
  <si>
    <t>G</t>
  </si>
  <si>
    <t>Subtotal Key Expenses</t>
  </si>
  <si>
    <t>Income Limit for Targeted Household</t>
  </si>
  <si>
    <t>Unit Rent</t>
  </si>
  <si>
    <t>Percent of Income Paid for Rent</t>
  </si>
  <si>
    <t>Monthly Rent Plus Utilities</t>
  </si>
  <si>
    <t>Electric and Gas</t>
  </si>
  <si>
    <t>Water and Sewer</t>
  </si>
  <si>
    <t>Garbage and Recycling</t>
  </si>
  <si>
    <t>Maintenance and Repairs</t>
  </si>
  <si>
    <t>Net Cash Flow</t>
  </si>
  <si>
    <t>This includes building and grounds maintenance and repairs including associated supplies and materials and the cost of any other contracted services, such as pest control, etc.</t>
  </si>
  <si>
    <t>Closing Costs</t>
  </si>
  <si>
    <t>Area Median Income Adjusted for Family Size</t>
  </si>
  <si>
    <t>Household Name</t>
  </si>
  <si>
    <t>Family Size</t>
  </si>
  <si>
    <t>Rent Subsidy</t>
  </si>
  <si>
    <t>Move in Date</t>
  </si>
  <si>
    <t>Move in Income</t>
  </si>
  <si>
    <t>Current Income</t>
  </si>
  <si>
    <t>Special Needs</t>
  </si>
  <si>
    <t>Elderly</t>
  </si>
  <si>
    <t>Homeless</t>
  </si>
  <si>
    <t>Total Sources Excluding AHP:</t>
  </si>
  <si>
    <t>To be completed for any occupied rental project (acquisition or rehab) requesting AHP subsidy.</t>
  </si>
  <si>
    <t>Do not include social service income or expense on this pro forma.</t>
  </si>
  <si>
    <t>Debt Coverage Ratio (with private debt)</t>
  </si>
  <si>
    <t>T</t>
  </si>
  <si>
    <t>Bank Loan</t>
  </si>
  <si>
    <t>FHA</t>
  </si>
  <si>
    <t>Private Foundation</t>
  </si>
  <si>
    <t>Other HUD</t>
  </si>
  <si>
    <t>HOME</t>
  </si>
  <si>
    <t>Individual Contribution</t>
  </si>
  <si>
    <t>Deferred Development Fee</t>
  </si>
  <si>
    <t>Taxable Revenue Bond</t>
  </si>
  <si>
    <t>Tax-exempt Revenue Bond</t>
  </si>
  <si>
    <t>USDA</t>
  </si>
  <si>
    <t>CP</t>
  </si>
  <si>
    <t>CDBG</t>
  </si>
  <si>
    <t>McKinney Funds</t>
  </si>
  <si>
    <t>State Government Subsidy</t>
  </si>
  <si>
    <t>Local Government Subsidy</t>
  </si>
  <si>
    <t>LIHTC</t>
  </si>
  <si>
    <t>Other Tax Credit</t>
  </si>
  <si>
    <t>Description</t>
  </si>
  <si>
    <t>Included in TDC</t>
  </si>
  <si>
    <t xml:space="preserve">Commercial Source </t>
  </si>
  <si>
    <t>NPV Mortgages</t>
  </si>
  <si>
    <t>AHP Subsidy</t>
  </si>
  <si>
    <t>Requested</t>
  </si>
  <si>
    <t>Proposed</t>
  </si>
  <si>
    <t>Approved</t>
  </si>
  <si>
    <t>Debt Coverage Ratio (no private debt)</t>
  </si>
  <si>
    <t>TC</t>
  </si>
  <si>
    <t>Indian CDBG</t>
  </si>
  <si>
    <t>Indian CSBG</t>
  </si>
  <si>
    <t>NAHASDA</t>
  </si>
  <si>
    <t>Other Tribal Funding</t>
  </si>
  <si>
    <t>Indian Health Service Funds</t>
  </si>
  <si>
    <t>Construction Loan</t>
  </si>
  <si>
    <t>Permanent Loan</t>
  </si>
  <si>
    <t>Grant</t>
  </si>
  <si>
    <t>Equity</t>
  </si>
  <si>
    <t>Tax Credit</t>
  </si>
  <si>
    <t>Tribal Funding</t>
  </si>
  <si>
    <t>Rental Income</t>
  </si>
  <si>
    <t>Donation</t>
  </si>
  <si>
    <t>Yes</t>
  </si>
  <si>
    <t>No</t>
  </si>
  <si>
    <t>Total Construction Costs</t>
  </si>
  <si>
    <t>Total Sales Price</t>
  </si>
  <si>
    <t>Interest Rate</t>
  </si>
  <si>
    <t>Percent of Income Paid for Rent &amp; Utilities</t>
  </si>
  <si>
    <t xml:space="preserve"> Number
of Units</t>
  </si>
  <si>
    <t>Total Estimated Mortgages</t>
  </si>
  <si>
    <t>Studio</t>
  </si>
  <si>
    <t xml:space="preserve"> </t>
  </si>
  <si>
    <t>Unit #</t>
  </si>
  <si>
    <t>LIST SOURCES OF PROJECT FUNDING INCLUDING NPV CALCULATED ON ATTACHMENT G - SPONSOR PROVIDED FINANCING</t>
  </si>
  <si>
    <t>Benchmark</t>
  </si>
  <si>
    <t>Calculations</t>
  </si>
  <si>
    <t>Do total permanent sources of funds equal total uses of funds?</t>
  </si>
  <si>
    <t>Explanations</t>
  </si>
  <si>
    <t>Is the developer fee greater than 10% of total development costs (net the developer fee) or 15% if the project includes tax credit financing?
Provide the rationale for the collecting of a developer fee if this project is rehab with no transfer of ownership or transfer of ownership to a related party.</t>
  </si>
  <si>
    <t>÷</t>
  </si>
  <si>
    <t>-</t>
  </si>
  <si>
    <t>=</t>
  </si>
  <si>
    <t>Capitalized Operating Reserves</t>
  </si>
  <si>
    <t>Is the hard cost contingency between:</t>
  </si>
  <si>
    <t>Hard Cost Contingency</t>
  </si>
  <si>
    <t>Does the soft cost contingency exceed 20% of soft costs?</t>
  </si>
  <si>
    <t>Soft Cost Contingency</t>
  </si>
  <si>
    <t>Amount of Loan</t>
  </si>
  <si>
    <t>Minimum</t>
  </si>
  <si>
    <t>Maximum</t>
  </si>
  <si>
    <t>This Project</t>
  </si>
  <si>
    <t>Off-site management fee (do not include social services)</t>
  </si>
  <si>
    <t>10% gross income
15% of gross income for projects with monitoring fees (i.e. tax credit projects)</t>
  </si>
  <si>
    <t>$200/unit/year</t>
  </si>
  <si>
    <t>$100/unit/year</t>
  </si>
  <si>
    <t>Annual Rent and Expense Increase</t>
  </si>
  <si>
    <t>Commitment Letter</t>
  </si>
  <si>
    <t>Note &amp; Mortgage</t>
  </si>
  <si>
    <t>Grant Agreement</t>
  </si>
  <si>
    <t>LP/Operating Agreement</t>
  </si>
  <si>
    <t>Resolution</t>
  </si>
  <si>
    <t>Number of Bedrooms</t>
  </si>
  <si>
    <t>1 Bedroom</t>
  </si>
  <si>
    <t>2 Bedroom</t>
  </si>
  <si>
    <t>3 Bedroom</t>
  </si>
  <si>
    <t>4 Bedroom</t>
  </si>
  <si>
    <t>5 Bedroom</t>
  </si>
  <si>
    <t>Subsidy
Amount</t>
  </si>
  <si>
    <t>Targeted Area Median
Income</t>
  </si>
  <si>
    <t>Aleutians East Borough</t>
  </si>
  <si>
    <t>Aleutians West Census Area</t>
  </si>
  <si>
    <t>Anchorage Municipality</t>
  </si>
  <si>
    <t>Bethel Census Area</t>
  </si>
  <si>
    <t>Bristol Bay Borough</t>
  </si>
  <si>
    <t>Denali Borough</t>
  </si>
  <si>
    <t>Dillingham Census Area</t>
  </si>
  <si>
    <t>Fairbanks North Star Borough</t>
  </si>
  <si>
    <t>Haines Borough</t>
  </si>
  <si>
    <t>Hoonah-Angoon Census Area</t>
  </si>
  <si>
    <t>Juneau City and Borough</t>
  </si>
  <si>
    <t>Kenai Peninsula Borough</t>
  </si>
  <si>
    <t>Ketchikan Gateway Borough</t>
  </si>
  <si>
    <t>Kodiak Island Borough</t>
  </si>
  <si>
    <t>Lake and Peninsula Borough</t>
  </si>
  <si>
    <t>Matanuska-Susitna Borough</t>
  </si>
  <si>
    <t>Nome Census Area</t>
  </si>
  <si>
    <t>North Slope Borough</t>
  </si>
  <si>
    <t>Northwest Arctic Borough</t>
  </si>
  <si>
    <t>Petersburg Census Area</t>
  </si>
  <si>
    <t>Prince of Wales-Hyder Census Area</t>
  </si>
  <si>
    <t>Sitka City and Borough</t>
  </si>
  <si>
    <t>Skagway Municipality</t>
  </si>
  <si>
    <t>Southeast Fairbanks Census Area</t>
  </si>
  <si>
    <t>Valdez-Cordova Census Area</t>
  </si>
  <si>
    <t>Wade Hampton Census Area</t>
  </si>
  <si>
    <t>Wrangell City and Borough</t>
  </si>
  <si>
    <t>Yakutat City and Borough</t>
  </si>
  <si>
    <t>Yukon-Koyukuk Census Area</t>
  </si>
  <si>
    <t>Guam</t>
  </si>
  <si>
    <t>Hawaii County</t>
  </si>
  <si>
    <t>Honolulu County</t>
  </si>
  <si>
    <t>Kalawao County</t>
  </si>
  <si>
    <t>Kauai County</t>
  </si>
  <si>
    <t>Maui County</t>
  </si>
  <si>
    <t>Ada County</t>
  </si>
  <si>
    <t>Adams County</t>
  </si>
  <si>
    <t>Bannock County</t>
  </si>
  <si>
    <t>Bear Lake County</t>
  </si>
  <si>
    <t>Benewah County</t>
  </si>
  <si>
    <t>Bingham County</t>
  </si>
  <si>
    <t>Blaine County</t>
  </si>
  <si>
    <t>Boise County</t>
  </si>
  <si>
    <t>Bonner County</t>
  </si>
  <si>
    <t>Bonneville County</t>
  </si>
  <si>
    <t>Boundary County</t>
  </si>
  <si>
    <t>Butte County</t>
  </si>
  <si>
    <t>Camas County</t>
  </si>
  <si>
    <t>Canyon County</t>
  </si>
  <si>
    <t>Caribou County</t>
  </si>
  <si>
    <t>Cassia County</t>
  </si>
  <si>
    <t>Clark County</t>
  </si>
  <si>
    <t>Clearwater County</t>
  </si>
  <si>
    <t>Custer County</t>
  </si>
  <si>
    <t>Elmore County</t>
  </si>
  <si>
    <t>Franklin County</t>
  </si>
  <si>
    <t>Fremont County</t>
  </si>
  <si>
    <t>Gem County</t>
  </si>
  <si>
    <t>Gooding County</t>
  </si>
  <si>
    <t>Idaho County</t>
  </si>
  <si>
    <t>Jefferson County</t>
  </si>
  <si>
    <t>Jerome County</t>
  </si>
  <si>
    <t>Kootenai County</t>
  </si>
  <si>
    <t>Latah County</t>
  </si>
  <si>
    <t>Lemhi County</t>
  </si>
  <si>
    <t>Lewis County</t>
  </si>
  <si>
    <t>Lincoln County</t>
  </si>
  <si>
    <t>Madison County</t>
  </si>
  <si>
    <t>Minidoka County</t>
  </si>
  <si>
    <t>Nez Perce County</t>
  </si>
  <si>
    <t>Oneida County</t>
  </si>
  <si>
    <t>Owyhee County</t>
  </si>
  <si>
    <t>Payette County</t>
  </si>
  <si>
    <t>Power County</t>
  </si>
  <si>
    <t>Shoshone County</t>
  </si>
  <si>
    <t>Teton County</t>
  </si>
  <si>
    <t>Twin Falls County</t>
  </si>
  <si>
    <t>Valley County</t>
  </si>
  <si>
    <t>Washington County</t>
  </si>
  <si>
    <t>Beaverhead County</t>
  </si>
  <si>
    <t>Big Horn County</t>
  </si>
  <si>
    <t>Broadwater County</t>
  </si>
  <si>
    <t>Carbon County</t>
  </si>
  <si>
    <t>Carter County</t>
  </si>
  <si>
    <t>Cascade County</t>
  </si>
  <si>
    <t>Chouteau County</t>
  </si>
  <si>
    <t>Daniels County</t>
  </si>
  <si>
    <t>Dawson County</t>
  </si>
  <si>
    <t>Deer Lodge County</t>
  </si>
  <si>
    <t>Fallon County</t>
  </si>
  <si>
    <t>Fergus County</t>
  </si>
  <si>
    <t>Flathead County</t>
  </si>
  <si>
    <t>Gallatin County</t>
  </si>
  <si>
    <t>Garfield County</t>
  </si>
  <si>
    <t>Glacier County</t>
  </si>
  <si>
    <t>Golden Valley County</t>
  </si>
  <si>
    <t>Granite County</t>
  </si>
  <si>
    <t>Hill County</t>
  </si>
  <si>
    <t>Judith Basin County</t>
  </si>
  <si>
    <t>Lake County</t>
  </si>
  <si>
    <t>Lewis and Clark County</t>
  </si>
  <si>
    <t>Liberty County</t>
  </si>
  <si>
    <t>McCone County</t>
  </si>
  <si>
    <t>Meagher County</t>
  </si>
  <si>
    <t>Mineral County</t>
  </si>
  <si>
    <t>Missoula County</t>
  </si>
  <si>
    <t>Musselshell County</t>
  </si>
  <si>
    <t>Park County</t>
  </si>
  <si>
    <t>Petroleum County</t>
  </si>
  <si>
    <t>Phillips County</t>
  </si>
  <si>
    <t>Pondera County</t>
  </si>
  <si>
    <t>Powder River County</t>
  </si>
  <si>
    <t>Powell County</t>
  </si>
  <si>
    <t>Prairie County</t>
  </si>
  <si>
    <t>Ravalli County</t>
  </si>
  <si>
    <t>Richland County</t>
  </si>
  <si>
    <t>Roosevelt County</t>
  </si>
  <si>
    <t>Rosebud County</t>
  </si>
  <si>
    <t>Sanders County</t>
  </si>
  <si>
    <t>Sheridan County</t>
  </si>
  <si>
    <t>Silver Bow County</t>
  </si>
  <si>
    <t>Stillwater County</t>
  </si>
  <si>
    <t>Sweet Grass County</t>
  </si>
  <si>
    <t>Toole County</t>
  </si>
  <si>
    <t>Treasure County</t>
  </si>
  <si>
    <t>Wheatland County</t>
  </si>
  <si>
    <t>Wibaux County</t>
  </si>
  <si>
    <t>Yellowstone County</t>
  </si>
  <si>
    <t>Baker County</t>
  </si>
  <si>
    <t>Benton County</t>
  </si>
  <si>
    <t>Clackamas County</t>
  </si>
  <si>
    <t>Clatsop County</t>
  </si>
  <si>
    <t>Columbia County</t>
  </si>
  <si>
    <t>Coos County</t>
  </si>
  <si>
    <t>Crook County</t>
  </si>
  <si>
    <t>Curry County</t>
  </si>
  <si>
    <t>Deschutes County</t>
  </si>
  <si>
    <t>Douglas County</t>
  </si>
  <si>
    <t>Gilliam County</t>
  </si>
  <si>
    <t>Grant County</t>
  </si>
  <si>
    <t>Harney County</t>
  </si>
  <si>
    <t>Hood River County</t>
  </si>
  <si>
    <t>Jackson County</t>
  </si>
  <si>
    <t>Josephine County</t>
  </si>
  <si>
    <t>Klamath County</t>
  </si>
  <si>
    <t>Lane County</t>
  </si>
  <si>
    <t>Linn County</t>
  </si>
  <si>
    <t>Malheur County</t>
  </si>
  <si>
    <t>Marion County</t>
  </si>
  <si>
    <t>Morrow County</t>
  </si>
  <si>
    <t>Multnomah County</t>
  </si>
  <si>
    <t>Polk County</t>
  </si>
  <si>
    <t>Sherman County</t>
  </si>
  <si>
    <t>Tillamook County</t>
  </si>
  <si>
    <t>Umatilla County</t>
  </si>
  <si>
    <t>Union County</t>
  </si>
  <si>
    <t>Wallowa County</t>
  </si>
  <si>
    <t>Wasco County</t>
  </si>
  <si>
    <t>Wheeler County</t>
  </si>
  <si>
    <t>Yamhill County</t>
  </si>
  <si>
    <t>Beaver County</t>
  </si>
  <si>
    <t>Box Elder County</t>
  </si>
  <si>
    <t>Cache County</t>
  </si>
  <si>
    <t>Daggett County</t>
  </si>
  <si>
    <t>Davis County</t>
  </si>
  <si>
    <t>Duchesne County</t>
  </si>
  <si>
    <t>Emery County</t>
  </si>
  <si>
    <t>Grand County</t>
  </si>
  <si>
    <t>Iron County</t>
  </si>
  <si>
    <t>Juab County</t>
  </si>
  <si>
    <t>Kane County</t>
  </si>
  <si>
    <t>Millard County</t>
  </si>
  <si>
    <t>Morgan County</t>
  </si>
  <si>
    <t>Piute County</t>
  </si>
  <si>
    <t>Rich County</t>
  </si>
  <si>
    <t>Salt Lake County</t>
  </si>
  <si>
    <t>San Juan County</t>
  </si>
  <si>
    <t>Sanpete County</t>
  </si>
  <si>
    <t>Sevier County</t>
  </si>
  <si>
    <t>Summit County</t>
  </si>
  <si>
    <t>Tooele County</t>
  </si>
  <si>
    <t>Uintah County</t>
  </si>
  <si>
    <t>Utah County</t>
  </si>
  <si>
    <t>Wasatch County</t>
  </si>
  <si>
    <t>Wayne County</t>
  </si>
  <si>
    <t>Weber County</t>
  </si>
  <si>
    <t>Asotin County</t>
  </si>
  <si>
    <t>Chelan County</t>
  </si>
  <si>
    <t>Clallam County</t>
  </si>
  <si>
    <t>Cowlitz County</t>
  </si>
  <si>
    <t>Ferry County</t>
  </si>
  <si>
    <t>Grays Harbor County</t>
  </si>
  <si>
    <t>Island County</t>
  </si>
  <si>
    <t>King County</t>
  </si>
  <si>
    <t>Kitsap County</t>
  </si>
  <si>
    <t>Kittitas County</t>
  </si>
  <si>
    <t>Klickitat County</t>
  </si>
  <si>
    <t>Mason County</t>
  </si>
  <si>
    <t>Okanogan County</t>
  </si>
  <si>
    <t>Pacific County</t>
  </si>
  <si>
    <t>Pend Oreille County</t>
  </si>
  <si>
    <t>Pierce County</t>
  </si>
  <si>
    <t>Skagit County</t>
  </si>
  <si>
    <t>Skamania County</t>
  </si>
  <si>
    <t>Snohomish County</t>
  </si>
  <si>
    <t>Spokane County</t>
  </si>
  <si>
    <t>Stevens County</t>
  </si>
  <si>
    <t>Thurston County</t>
  </si>
  <si>
    <t>Wahkiakum County</t>
  </si>
  <si>
    <t>Walla Walla County</t>
  </si>
  <si>
    <t>Whatcom County</t>
  </si>
  <si>
    <t>Whitman County</t>
  </si>
  <si>
    <t>Yakima County</t>
  </si>
  <si>
    <t>Albany County</t>
  </si>
  <si>
    <t>Campbell County</t>
  </si>
  <si>
    <t>Converse County</t>
  </si>
  <si>
    <t>Goshen County</t>
  </si>
  <si>
    <t>Hot Springs County</t>
  </si>
  <si>
    <t>Johnson County</t>
  </si>
  <si>
    <t>Laramie County</t>
  </si>
  <si>
    <t>Natrona County</t>
  </si>
  <si>
    <t>Niobrara County</t>
  </si>
  <si>
    <t>Platte County</t>
  </si>
  <si>
    <t>Sublette County</t>
  </si>
  <si>
    <t>Sweetwater County</t>
  </si>
  <si>
    <t>Uinta County</t>
  </si>
  <si>
    <t>Washakie County</t>
  </si>
  <si>
    <t>Weston County</t>
  </si>
  <si>
    <t>Alaska</t>
  </si>
  <si>
    <t>Hawaii</t>
  </si>
  <si>
    <t>Idaho</t>
  </si>
  <si>
    <t>Utah</t>
  </si>
  <si>
    <t>Montana</t>
  </si>
  <si>
    <t>Oregon</t>
  </si>
  <si>
    <t>Washington</t>
  </si>
  <si>
    <t>Wyoming</t>
  </si>
  <si>
    <t>Not Listed</t>
  </si>
  <si>
    <t>A state has not been selected.</t>
  </si>
  <si>
    <t>Aleutians East Borough, Alaska</t>
  </si>
  <si>
    <t>Aleutians West Census Area, Alaska</t>
  </si>
  <si>
    <t>Anchorage Municipality, Alaska</t>
  </si>
  <si>
    <t>Bethel Census Area, Alaska</t>
  </si>
  <si>
    <t>Bristol Bay Borough, Alaska</t>
  </si>
  <si>
    <t>Denali Borough, Alaska</t>
  </si>
  <si>
    <t>Dillingham Census Area, Alaska</t>
  </si>
  <si>
    <t>Fairbanks North Star Borough, Alaska</t>
  </si>
  <si>
    <t>Haines Borough, Alaska</t>
  </si>
  <si>
    <t>Hoonah-Angoon Census Area, Alaska</t>
  </si>
  <si>
    <t>Juneau City and Borough, Alaska</t>
  </si>
  <si>
    <t>Kenai Peninsula Borough, Alaska</t>
  </si>
  <si>
    <t>Ketchikan Gateway Borough, Alaska</t>
  </si>
  <si>
    <t>Kodiak Island Borough, Alaska</t>
  </si>
  <si>
    <t>Lake and Peninsula Borough, Alaska</t>
  </si>
  <si>
    <t>Matanuska-Susitna Borough, Alaska</t>
  </si>
  <si>
    <t>Nome Census Area, Alaska</t>
  </si>
  <si>
    <t>North Slope Borough, Alaska</t>
  </si>
  <si>
    <t>Northwest Arctic Borough, Alaska</t>
  </si>
  <si>
    <t>Petersburg Census Area, Alaska</t>
  </si>
  <si>
    <t>Prince of Wales-Hyder Census Area, Alaska</t>
  </si>
  <si>
    <t>Sitka City and Borough, Alaska</t>
  </si>
  <si>
    <t>Skagway Municipality, Alaska</t>
  </si>
  <si>
    <t>Southeast Fairbanks Census Area, Alaska</t>
  </si>
  <si>
    <t>Valdez-Cordova Census Area, Alaska</t>
  </si>
  <si>
    <t>Wade Hampton Census Area, Alaska</t>
  </si>
  <si>
    <t>Wrangell City and Borough, Alaska</t>
  </si>
  <si>
    <t>Yakutat City and Borough, Alaska</t>
  </si>
  <si>
    <t>Yukon-Koyukuk Census Area, Alaska</t>
  </si>
  <si>
    <t>Guam, Guam</t>
  </si>
  <si>
    <t>Hawaii County, Hawaii</t>
  </si>
  <si>
    <t>Honolulu County, Hawaii</t>
  </si>
  <si>
    <t>Kalawao County, Hawaii</t>
  </si>
  <si>
    <t>Kauai County, Hawaii</t>
  </si>
  <si>
    <t>Maui County, Hawaii</t>
  </si>
  <si>
    <t>Ada County, Idaho</t>
  </si>
  <si>
    <t>Adams County, Idaho</t>
  </si>
  <si>
    <t>Bannock County, Idaho</t>
  </si>
  <si>
    <t>Bear Lake County, Idaho</t>
  </si>
  <si>
    <t>Benewah County, Idaho</t>
  </si>
  <si>
    <t>Bingham County, Idaho</t>
  </si>
  <si>
    <t>Blaine County, Idaho</t>
  </si>
  <si>
    <t>Boise County, Idaho</t>
  </si>
  <si>
    <t>Bonner County, Idaho</t>
  </si>
  <si>
    <t>Bonneville County, Idaho</t>
  </si>
  <si>
    <t>Boundary County, Idaho</t>
  </si>
  <si>
    <t>Butte County, Idaho</t>
  </si>
  <si>
    <t>Camas County, Idaho</t>
  </si>
  <si>
    <t>Canyon County, Idaho</t>
  </si>
  <si>
    <t>Caribou County, Idaho</t>
  </si>
  <si>
    <t>Cassia County, Idaho</t>
  </si>
  <si>
    <t>Clark County, Idaho</t>
  </si>
  <si>
    <t>Clearwater County, Idaho</t>
  </si>
  <si>
    <t>Custer County, Idaho</t>
  </si>
  <si>
    <t>Elmore County, Idaho</t>
  </si>
  <si>
    <t>Franklin County, Idaho</t>
  </si>
  <si>
    <t>Fremont County, Idaho</t>
  </si>
  <si>
    <t>Gem County, Idaho</t>
  </si>
  <si>
    <t>Gooding County, Idaho</t>
  </si>
  <si>
    <t>Idaho County, Idaho</t>
  </si>
  <si>
    <t>Jefferson County, Idaho</t>
  </si>
  <si>
    <t>Jerome County, Idaho</t>
  </si>
  <si>
    <t>Kootenai County, Idaho</t>
  </si>
  <si>
    <t>Latah County, Idaho</t>
  </si>
  <si>
    <t>Lemhi County, Idaho</t>
  </si>
  <si>
    <t>Lewis County, Idaho</t>
  </si>
  <si>
    <t>Lincoln County, Idaho</t>
  </si>
  <si>
    <t>Madison County, Idaho</t>
  </si>
  <si>
    <t>Minidoka County, Idaho</t>
  </si>
  <si>
    <t>Nez Perce County, Idaho</t>
  </si>
  <si>
    <t>Oneida County, Idaho</t>
  </si>
  <si>
    <t>Owyhee County, Idaho</t>
  </si>
  <si>
    <t>Payette County, Idaho</t>
  </si>
  <si>
    <t>Power County, Idaho</t>
  </si>
  <si>
    <t>Shoshone County, Idaho</t>
  </si>
  <si>
    <t>Teton County, Idaho</t>
  </si>
  <si>
    <t>Twin Falls County, Idaho</t>
  </si>
  <si>
    <t>Valley County, Idaho</t>
  </si>
  <si>
    <t>Washington County, Idaho</t>
  </si>
  <si>
    <t>Beaverhead County, Montana</t>
  </si>
  <si>
    <t>Big Horn County, Montana</t>
  </si>
  <si>
    <t>Blaine County, Montana</t>
  </si>
  <si>
    <t>Broadwater County, Montana</t>
  </si>
  <si>
    <t>Carbon County, Montana</t>
  </si>
  <si>
    <t>Carter County, Montana</t>
  </si>
  <si>
    <t>Cascade County, Montana</t>
  </si>
  <si>
    <t>Chouteau County, Montana</t>
  </si>
  <si>
    <t>Custer County, Montana</t>
  </si>
  <si>
    <t>Daniels County, Montana</t>
  </si>
  <si>
    <t>Dawson County, Montana</t>
  </si>
  <si>
    <t>Deer Lodge County, Montana</t>
  </si>
  <si>
    <t>Fallon County, Montana</t>
  </si>
  <si>
    <t>Fergus County, Montana</t>
  </si>
  <si>
    <t>Flathead County, Montana</t>
  </si>
  <si>
    <t>Gallatin County, Montana</t>
  </si>
  <si>
    <t>Garfield County, Montana</t>
  </si>
  <si>
    <t>Glacier County, Montana</t>
  </si>
  <si>
    <t>Golden Valley County, Montana</t>
  </si>
  <si>
    <t>Granite County, Montana</t>
  </si>
  <si>
    <t>Hill County, Montana</t>
  </si>
  <si>
    <t>Jefferson County, Montana</t>
  </si>
  <si>
    <t>Judith Basin County, Montana</t>
  </si>
  <si>
    <t>Lake County, Montana</t>
  </si>
  <si>
    <t>Lewis and Clark County, Montana</t>
  </si>
  <si>
    <t>Liberty County, Montana</t>
  </si>
  <si>
    <t>Lincoln County, Montana</t>
  </si>
  <si>
    <t>McCone County, Montana</t>
  </si>
  <si>
    <t>Madison County, Montana</t>
  </si>
  <si>
    <t>Meagher County, Montana</t>
  </si>
  <si>
    <t>Mineral County, Montana</t>
  </si>
  <si>
    <t>Missoula County, Montana</t>
  </si>
  <si>
    <t>Musselshell County, Montana</t>
  </si>
  <si>
    <t>Park County, Montana</t>
  </si>
  <si>
    <t>Petroleum County, Montana</t>
  </si>
  <si>
    <t>Phillips County, Montana</t>
  </si>
  <si>
    <t>Pondera County, Montana</t>
  </si>
  <si>
    <t>Powder River County, Montana</t>
  </si>
  <si>
    <t>Powell County, Montana</t>
  </si>
  <si>
    <t>Prairie County, Montana</t>
  </si>
  <si>
    <t>Ravalli County, Montana</t>
  </si>
  <si>
    <t>Richland County, Montana</t>
  </si>
  <si>
    <t>Roosevelt County, Montana</t>
  </si>
  <si>
    <t>Rosebud County, Montana</t>
  </si>
  <si>
    <t>Sanders County, Montana</t>
  </si>
  <si>
    <t>Sheridan County, Montana</t>
  </si>
  <si>
    <t>Silver Bow County, Montana</t>
  </si>
  <si>
    <t>Stillwater County, Montana</t>
  </si>
  <si>
    <t>Sweet Grass County, Montana</t>
  </si>
  <si>
    <t>Teton County, Montana</t>
  </si>
  <si>
    <t>Toole County, Montana</t>
  </si>
  <si>
    <t>Treasure County, Montana</t>
  </si>
  <si>
    <t>Valley County, Montana</t>
  </si>
  <si>
    <t>Wheatland County, Montana</t>
  </si>
  <si>
    <t>Wibaux County, Montana</t>
  </si>
  <si>
    <t>Yellowstone County, Montana</t>
  </si>
  <si>
    <t>Baker County, Oregon</t>
  </si>
  <si>
    <t>Benton County, Oregon</t>
  </si>
  <si>
    <t>Clackamas County, Oregon</t>
  </si>
  <si>
    <t>Clatsop County, Oregon</t>
  </si>
  <si>
    <t>Columbia County, Oregon</t>
  </si>
  <si>
    <t>Coos County, Oregon</t>
  </si>
  <si>
    <t>Crook County, Oregon</t>
  </si>
  <si>
    <t>Curry County, Oregon</t>
  </si>
  <si>
    <t>Deschutes County, Oregon</t>
  </si>
  <si>
    <t>Douglas County, Oregon</t>
  </si>
  <si>
    <t>Gilliam County, Oregon</t>
  </si>
  <si>
    <t>Grant County, Oregon</t>
  </si>
  <si>
    <t>Harney County, Oregon</t>
  </si>
  <si>
    <t>Hood River County, Oregon</t>
  </si>
  <si>
    <t>Jackson County, Oregon</t>
  </si>
  <si>
    <t>Jefferson County, Oregon</t>
  </si>
  <si>
    <t>Josephine County, Oregon</t>
  </si>
  <si>
    <t>Klamath County, Oregon</t>
  </si>
  <si>
    <t>Lake County, Oregon</t>
  </si>
  <si>
    <t>Lane County, Oregon</t>
  </si>
  <si>
    <t>Lincoln County, Oregon</t>
  </si>
  <si>
    <t>Linn County, Oregon</t>
  </si>
  <si>
    <t>Malheur County, Oregon</t>
  </si>
  <si>
    <t>Marion County, Oregon</t>
  </si>
  <si>
    <t>Morrow County, Oregon</t>
  </si>
  <si>
    <t>Multnomah County, Oregon</t>
  </si>
  <si>
    <t>Polk County, Oregon</t>
  </si>
  <si>
    <t>Sherman County, Oregon</t>
  </si>
  <si>
    <t>Tillamook County, Oregon</t>
  </si>
  <si>
    <t>Umatilla County, Oregon</t>
  </si>
  <si>
    <t>Union County, Oregon</t>
  </si>
  <si>
    <t>Wallowa County, Oregon</t>
  </si>
  <si>
    <t>Wasco County, Oregon</t>
  </si>
  <si>
    <t>Washington County, Oregon</t>
  </si>
  <si>
    <t>Wheeler County, Oregon</t>
  </si>
  <si>
    <t>Yamhill County, Oregon</t>
  </si>
  <si>
    <t>Beaver County, Utah</t>
  </si>
  <si>
    <t>Box Elder County, Utah</t>
  </si>
  <si>
    <t>Cache County, Utah</t>
  </si>
  <si>
    <t>Carbon County, Utah</t>
  </si>
  <si>
    <t>Daggett County, Utah</t>
  </si>
  <si>
    <t>Davis County, Utah</t>
  </si>
  <si>
    <t>Duchesne County, Utah</t>
  </si>
  <si>
    <t>Emery County, Utah</t>
  </si>
  <si>
    <t>Garfield County, Utah</t>
  </si>
  <si>
    <t>Grand County, Utah</t>
  </si>
  <si>
    <t>Iron County, Utah</t>
  </si>
  <si>
    <t>Juab County, Utah</t>
  </si>
  <si>
    <t>Kane County, Utah</t>
  </si>
  <si>
    <t>Millard County, Utah</t>
  </si>
  <si>
    <t>Morgan County, Utah</t>
  </si>
  <si>
    <t>Piute County, Utah</t>
  </si>
  <si>
    <t>Rich County, Utah</t>
  </si>
  <si>
    <t>Salt Lake County, Utah</t>
  </si>
  <si>
    <t>San Juan County, Utah</t>
  </si>
  <si>
    <t>Sanpete County, Utah</t>
  </si>
  <si>
    <t>Sevier County, Utah</t>
  </si>
  <si>
    <t>Summit County, Utah</t>
  </si>
  <si>
    <t>Tooele County, Utah</t>
  </si>
  <si>
    <t>Uintah County, Utah</t>
  </si>
  <si>
    <t>Utah County, Utah</t>
  </si>
  <si>
    <t>Wasatch County, Utah</t>
  </si>
  <si>
    <t>Washington County, Utah</t>
  </si>
  <si>
    <t>Wayne County, Utah</t>
  </si>
  <si>
    <t>Weber County, Utah</t>
  </si>
  <si>
    <t>Adams County, Washington</t>
  </si>
  <si>
    <t>Asotin County, Washington</t>
  </si>
  <si>
    <t>Benton County, Washington</t>
  </si>
  <si>
    <t>Chelan County, Washington</t>
  </si>
  <si>
    <t>Clallam County, Washington</t>
  </si>
  <si>
    <t>Clark County, Washington</t>
  </si>
  <si>
    <t>Columbia County, Washington</t>
  </si>
  <si>
    <t>Cowlitz County, Washington</t>
  </si>
  <si>
    <t>Douglas County, Washington</t>
  </si>
  <si>
    <t>Ferry County, Washington</t>
  </si>
  <si>
    <t>Franklin County, Washington</t>
  </si>
  <si>
    <t>Garfield County, Washington</t>
  </si>
  <si>
    <t>Grant County, Washington</t>
  </si>
  <si>
    <t>Grays Harbor County, Washington</t>
  </si>
  <si>
    <t>Island County, Washington</t>
  </si>
  <si>
    <t>Jefferson County, Washington</t>
  </si>
  <si>
    <t>King County, Washington</t>
  </si>
  <si>
    <t>Kitsap County, Washington</t>
  </si>
  <si>
    <t>Kittitas County, Washington</t>
  </si>
  <si>
    <t>Klickitat County, Washington</t>
  </si>
  <si>
    <t>Lewis County, Washington</t>
  </si>
  <si>
    <t>Lincoln County, Washington</t>
  </si>
  <si>
    <t>Mason County, Washington</t>
  </si>
  <si>
    <t>Okanogan County, Washington</t>
  </si>
  <si>
    <t>Pacific County, Washington</t>
  </si>
  <si>
    <t>Pend Oreille County, Washington</t>
  </si>
  <si>
    <t>Pierce County, Washington</t>
  </si>
  <si>
    <t>San Juan County, Washington</t>
  </si>
  <si>
    <t>Skagit County, Washington</t>
  </si>
  <si>
    <t>Skamania County, Washington</t>
  </si>
  <si>
    <t>Snohomish County, Washington</t>
  </si>
  <si>
    <t>Spokane County, Washington</t>
  </si>
  <si>
    <t>Stevens County, Washington</t>
  </si>
  <si>
    <t>Thurston County, Washington</t>
  </si>
  <si>
    <t>Wahkiakum County, Washington</t>
  </si>
  <si>
    <t>Walla Walla County, Washington</t>
  </si>
  <si>
    <t>Whatcom County, Washington</t>
  </si>
  <si>
    <t>Whitman County, Washington</t>
  </si>
  <si>
    <t>Yakima County, Washington</t>
  </si>
  <si>
    <t>Albany County, Wyoming</t>
  </si>
  <si>
    <t>Big Horn County, Wyoming</t>
  </si>
  <si>
    <t>Campbell County, Wyoming</t>
  </si>
  <si>
    <t>Carbon County, Wyoming</t>
  </si>
  <si>
    <t>Converse County, Wyoming</t>
  </si>
  <si>
    <t>Crook County, Wyoming</t>
  </si>
  <si>
    <t>Fremont County, Wyoming</t>
  </si>
  <si>
    <t>Goshen County, Wyoming</t>
  </si>
  <si>
    <t>Hot Springs County, Wyoming</t>
  </si>
  <si>
    <t>Johnson County, Wyoming</t>
  </si>
  <si>
    <t>Laramie County, Wyoming</t>
  </si>
  <si>
    <t>Lincoln County, Wyoming</t>
  </si>
  <si>
    <t>Natrona County, Wyoming</t>
  </si>
  <si>
    <t>Niobrara County, Wyoming</t>
  </si>
  <si>
    <t>Park County, Wyoming</t>
  </si>
  <si>
    <t>Platte County, Wyoming</t>
  </si>
  <si>
    <t>Sheridan County, Wyoming</t>
  </si>
  <si>
    <t>Sublette County, Wyoming</t>
  </si>
  <si>
    <t>Sweetwater County, Wyoming</t>
  </si>
  <si>
    <t>Teton County, Wyoming</t>
  </si>
  <si>
    <t>Uinta County, Wyoming</t>
  </si>
  <si>
    <t>Washakie County, Wyoming</t>
  </si>
  <si>
    <t>Weston County, Wyoming</t>
  </si>
  <si>
    <t>Other County/State</t>
  </si>
  <si>
    <t>Monthly Rent Revenue</t>
  </si>
  <si>
    <t>Monthly Utilities</t>
  </si>
  <si>
    <t>≤30% AMI</t>
  </si>
  <si>
    <t>Non-Manager Units</t>
  </si>
  <si>
    <t>Income Restricted Manager Units</t>
  </si>
  <si>
    <t>Manager
(Non-Income Restricted)</t>
  </si>
  <si>
    <t>Non-Income Restricted Manager Units</t>
  </si>
  <si>
    <t>Does the project intend to utilize funding from the following:</t>
  </si>
  <si>
    <t>Is the sponsor providing financing?</t>
  </si>
  <si>
    <t>Updated 4/30/2014</t>
  </si>
  <si>
    <t>Does the project intend to use AHP funds for any of the following:</t>
  </si>
  <si>
    <t>Project Type:</t>
  </si>
  <si>
    <t>Rental</t>
  </si>
  <si>
    <t>Select Project Type</t>
  </si>
  <si>
    <t>Owner-occupied</t>
  </si>
  <si>
    <t>Select "Yes" or "No"</t>
  </si>
  <si>
    <t>&gt;80% AMI</t>
  </si>
  <si>
    <t>Assumed Household Size</t>
  </si>
  <si>
    <t>l50_1</t>
  </si>
  <si>
    <t>l50_2</t>
  </si>
  <si>
    <t>l50_3</t>
  </si>
  <si>
    <t>l50_4</t>
  </si>
  <si>
    <t>l50_5</t>
  </si>
  <si>
    <t>l50_6</t>
  </si>
  <si>
    <t>l50_7</t>
  </si>
  <si>
    <t>l50_8</t>
  </si>
  <si>
    <t>l30_1</t>
  </si>
  <si>
    <t>l30_2</t>
  </si>
  <si>
    <t>l30_3</t>
  </si>
  <si>
    <t>l30_4</t>
  </si>
  <si>
    <t>l30_5</t>
  </si>
  <si>
    <t>l30_6</t>
  </si>
  <si>
    <t>l30_7</t>
  </si>
  <si>
    <t>l30_8</t>
  </si>
  <si>
    <t>l80_1</t>
  </si>
  <si>
    <t>l80_2</t>
  </si>
  <si>
    <t>l80_3</t>
  </si>
  <si>
    <t>l80_4</t>
  </si>
  <si>
    <t>l80_5</t>
  </si>
  <si>
    <t>l80_6</t>
  </si>
  <si>
    <t>l80_7</t>
  </si>
  <si>
    <t>l80_8</t>
  </si>
  <si>
    <t>Percent of Permanent Financing Approved</t>
  </si>
  <si>
    <t>Combines county and state name to populate AMI table.</t>
  </si>
  <si>
    <t>Assigns a value 1-6 based on AMI selected.</t>
  </si>
  <si>
    <t>Assigns a value 1-6 based on number of bedrooms selected.</t>
  </si>
  <si>
    <t>Homeless Yes/No</t>
  </si>
  <si>
    <t>Shows a 1 if not state is selected causing text to be red.</t>
  </si>
  <si>
    <t>Counts the number of inputs into the set-aside table. If nothing has been input it will show 0 and cause the validation above the table to appear.</t>
  </si>
  <si>
    <t>Type of
Subsidy</t>
  </si>
  <si>
    <t>Tenant
Paid Rent</t>
  </si>
  <si>
    <t>≤50% AMI</t>
  </si>
  <si>
    <t>≤60% AMI</t>
  </si>
  <si>
    <t>≤70% AMI</t>
  </si>
  <si>
    <t>≤80% AMI</t>
  </si>
  <si>
    <t>Tax Credit Sources?</t>
  </si>
  <si>
    <t>Construction Expenses</t>
  </si>
  <si>
    <t>Infrastructure</t>
  </si>
  <si>
    <t>Select One…</t>
  </si>
  <si>
    <t>Apartments</t>
  </si>
  <si>
    <t>Single-family Homes</t>
  </si>
  <si>
    <t>Townhomes</t>
  </si>
  <si>
    <t>LIHTC or Historic TC</t>
  </si>
  <si>
    <t>New Construction</t>
  </si>
  <si>
    <t>Rehabilitation</t>
  </si>
  <si>
    <t>Do soft costs, defined as all costs other than acquisition and hard costs, exceed 30% of total development costs for projects financed by low income housing or historic tax credits; 25% of total development costs for new construction or 20% for rehabilitation?
If yes, explain.</t>
  </si>
  <si>
    <t xml:space="preserve"> Number
of Houses</t>
  </si>
  <si>
    <t>.</t>
  </si>
  <si>
    <t>Target AMI</t>
  </si>
  <si>
    <t>Purchase Price</t>
  </si>
  <si>
    <t>Amount</t>
  </si>
  <si>
    <t>Demolition</t>
  </si>
  <si>
    <t>Hazardous Materials</t>
  </si>
  <si>
    <t>Construction Project Management</t>
  </si>
  <si>
    <t>Sales Tax</t>
  </si>
  <si>
    <t xml:space="preserve"> Construction (Hard Costs) Subtotal</t>
  </si>
  <si>
    <t>Architect</t>
  </si>
  <si>
    <t>Permits and Fees</t>
  </si>
  <si>
    <t>Construction Interest</t>
  </si>
  <si>
    <t>Construction Loan Fees</t>
  </si>
  <si>
    <t>Engineering</t>
  </si>
  <si>
    <t>Relocation Costs</t>
  </si>
  <si>
    <t>Project Management</t>
  </si>
  <si>
    <t>Technical Assistance</t>
  </si>
  <si>
    <t>Developer Fees</t>
  </si>
  <si>
    <t>Permanent Loan Fees</t>
  </si>
  <si>
    <t>Capitalized Replacement Reserves</t>
  </si>
  <si>
    <t>Capitalized Lease-up Reserves</t>
  </si>
  <si>
    <t>Soft Costs Subtotal</t>
  </si>
  <si>
    <t>Acquisition Total</t>
  </si>
  <si>
    <t>Predevelopment Subtotal</t>
  </si>
  <si>
    <t>Development Subtotal</t>
  </si>
  <si>
    <t>STATE</t>
  </si>
  <si>
    <t>JUNEAU</t>
  </si>
  <si>
    <t>KETCHIKAN</t>
  </si>
  <si>
    <t>STATES &amp; POSS., GUAM</t>
  </si>
  <si>
    <t>HILO</t>
  </si>
  <si>
    <t>TWIN FALLS</t>
  </si>
  <si>
    <t>BUTTE</t>
  </si>
  <si>
    <t>HAVRE</t>
  </si>
  <si>
    <t>HELENA</t>
  </si>
  <si>
    <t>KALISPELL</t>
  </si>
  <si>
    <t>MILES CITY</t>
  </si>
  <si>
    <t>WOLF POINT</t>
  </si>
  <si>
    <t>KLAMATH FALLS</t>
  </si>
  <si>
    <t>PENDLETON</t>
  </si>
  <si>
    <t>VALE</t>
  </si>
  <si>
    <t>PRICE</t>
  </si>
  <si>
    <t>CLARKSTON</t>
  </si>
  <si>
    <t>NEWCASTLE</t>
  </si>
  <si>
    <t>RAWLINS</t>
  </si>
  <si>
    <t>RIVERTON</t>
  </si>
  <si>
    <t>ROCK SPRINGS</t>
  </si>
  <si>
    <t>SHERIDAN</t>
  </si>
  <si>
    <t>WHEATLAND</t>
  </si>
  <si>
    <t>WORLAND</t>
  </si>
  <si>
    <t>YELLOWSTONE NAT'L PA</t>
  </si>
  <si>
    <t>STATES &amp; POSS., GUAM  (City)</t>
  </si>
  <si>
    <t>Condos</t>
  </si>
  <si>
    <t>RSMeans Gross Residential Square Foot Cost:</t>
  </si>
  <si>
    <t>Project Construction (Hard Costs) Subtotal:</t>
  </si>
  <si>
    <t>Per Square Foot Costs ≤ RSMeans Data:</t>
  </si>
  <si>
    <t>Project Gross Housing Square Feet:</t>
  </si>
  <si>
    <t>Check</t>
  </si>
  <si>
    <t>Non-Tax Credit</t>
  </si>
  <si>
    <t>Other States</t>
  </si>
  <si>
    <t xml:space="preserve">If the project has commercial space are there at least as much sources as there are uses for the commercial space?
</t>
  </si>
  <si>
    <t>Data Entry Fields</t>
  </si>
  <si>
    <t>Uses Statement</t>
  </si>
  <si>
    <t>Sources and Uses Summary</t>
  </si>
  <si>
    <t>Interest
Rate</t>
  </si>
  <si>
    <t>FHLB AHP Subsidy</t>
  </si>
  <si>
    <t>Housing</t>
  </si>
  <si>
    <t>Commercial</t>
  </si>
  <si>
    <t>Total</t>
  </si>
  <si>
    <t>Permanent Financing with NPV:</t>
  </si>
  <si>
    <t>Term
(months)</t>
  </si>
  <si>
    <t>Annual Debt Service</t>
  </si>
  <si>
    <t>IR</t>
  </si>
  <si>
    <t>Amortization</t>
  </si>
  <si>
    <t>Amortization (months)</t>
  </si>
  <si>
    <t xml:space="preserve">If the project has loans, list the lender name, points, fees, and other charges below. The loan amount, interest rate, amortization should be listed on the Sources Statement. </t>
  </si>
  <si>
    <t xml:space="preserve"> Percent of Household Income Paid for Housing Expense</t>
  </si>
  <si>
    <t>Percent of Units ≤50%</t>
  </si>
  <si>
    <t>Project County:</t>
  </si>
  <si>
    <t>Project State:</t>
  </si>
  <si>
    <t>Total Unit Rent Received</t>
  </si>
  <si>
    <t>Income</t>
  </si>
  <si>
    <t>Operating Expenses</t>
  </si>
  <si>
    <t>Total Monthly Rental Income:</t>
  </si>
  <si>
    <t>Total Annual Rental Income:</t>
  </si>
  <si>
    <r>
      <t>Complete</t>
    </r>
    <r>
      <rPr>
        <b/>
        <i/>
        <sz val="9"/>
        <color theme="1" tint="0.34998626667073579"/>
        <rFont val="Arial"/>
        <family val="2"/>
      </rPr>
      <t xml:space="preserve"> Attachment G-Sponsor Provided Financing</t>
    </r>
    <r>
      <rPr>
        <i/>
        <sz val="9"/>
        <color theme="1" tint="0.34998626667073579"/>
        <rFont val="Arial"/>
        <family val="2"/>
      </rPr>
      <t xml:space="preserve"> to calculate the net present value (NPV) of the sponsor provided financing. Using </t>
    </r>
    <r>
      <rPr>
        <b/>
        <i/>
        <sz val="9"/>
        <color theme="1" tint="0.34998626667073579"/>
        <rFont val="Arial"/>
        <family val="2"/>
      </rPr>
      <t>Attachment G - Sponsor Provided Financing</t>
    </r>
    <r>
      <rPr>
        <i/>
        <sz val="9"/>
        <color theme="1" tint="0.34998626667073579"/>
        <rFont val="Arial"/>
        <family val="2"/>
      </rPr>
      <t>, complete the below Sources Statement for projects with sponsor provided financing.</t>
    </r>
  </si>
  <si>
    <t>Other:</t>
  </si>
  <si>
    <t>Square Feet Input Warning</t>
  </si>
  <si>
    <t>Sources Statement</t>
  </si>
  <si>
    <t>Permanent Loan (1= Y, 0=N)</t>
  </si>
  <si>
    <t>IR (1=Y, 0=N)</t>
  </si>
  <si>
    <t>Term (1=Y, 0=N)</t>
  </si>
  <si>
    <t>Amortization (1=Y, 0=N)</t>
  </si>
  <si>
    <t>IR warning msg</t>
  </si>
  <si>
    <t>Term warning msg</t>
  </si>
  <si>
    <t>Amotrization warning msg.</t>
  </si>
  <si>
    <t>Input source Name (1=Y)</t>
  </si>
  <si>
    <t>TYPE, DESC. AND STATUS</t>
  </si>
  <si>
    <t>Type (1=N)</t>
  </si>
  <si>
    <t>Description (1=N)</t>
  </si>
  <si>
    <t>Status (1=N)</t>
  </si>
  <si>
    <t>Construction Financing</t>
  </si>
  <si>
    <t>Source Type</t>
  </si>
  <si>
    <t>Source Desc.</t>
  </si>
  <si>
    <t>Uses
Statement</t>
  </si>
  <si>
    <t>Rent
Schedule</t>
  </si>
  <si>
    <t>Commercial
ProForma</t>
  </si>
  <si>
    <t>Owner-occupied
Housing Expense</t>
  </si>
  <si>
    <t>Feasibility
Analysis</t>
  </si>
  <si>
    <t>Sponsor Provided
Financing</t>
  </si>
  <si>
    <t>Sources
Statement</t>
  </si>
  <si>
    <t>Owner-occupied
Housing Exp.</t>
  </si>
  <si>
    <t>Sources</t>
  </si>
  <si>
    <t>Uses</t>
  </si>
  <si>
    <t>Other Income
Listed</t>
  </si>
  <si>
    <t>Other Income
Amounts</t>
  </si>
  <si>
    <t>Other Expense
Listed</t>
  </si>
  <si>
    <t>Other Expenses Amt.</t>
  </si>
  <si>
    <t>explanation null</t>
  </si>
  <si>
    <t>sources=uses</t>
  </si>
  <si>
    <t>+</t>
  </si>
  <si>
    <t>Validation Warning Summary</t>
  </si>
  <si>
    <t xml:space="preserve">All validation warnings listed below should be addressed before submitting the AHP application and workbook to the Seattle Bank. </t>
  </si>
  <si>
    <t>Sources &amp;
Uses Summary</t>
  </si>
  <si>
    <t>Rental
Operating
ProForma</t>
  </si>
  <si>
    <t>Tenant Income
Verification (TIV)</t>
  </si>
  <si>
    <t>Other Acquisition  warning</t>
  </si>
  <si>
    <t>Validation
Warnings</t>
  </si>
  <si>
    <t>Navigation</t>
  </si>
  <si>
    <t>Use the tabs at the top of each worksheet to navigate through the workbook.</t>
  </si>
  <si>
    <t>In the case of owner-occupied projects where the sponsor provides permanent mortgage financing to the homebuyer, both the Permanent Sources Statement and Permanent Sources Statement with NPV must be completed.</t>
  </si>
  <si>
    <t>Sponsor Provided Financing - NPV</t>
  </si>
  <si>
    <t>Total Uses:</t>
  </si>
  <si>
    <t>Validation
Warning
Summary</t>
  </si>
  <si>
    <t>Present Value Calculation</t>
  </si>
  <si>
    <t>Cash Sources</t>
  </si>
  <si>
    <t>Total Sources:</t>
  </si>
  <si>
    <r>
      <t xml:space="preserve">Funding Gap </t>
    </r>
    <r>
      <rPr>
        <i/>
        <sz val="9"/>
        <color theme="0"/>
        <rFont val="Arial"/>
        <family val="2"/>
      </rPr>
      <t>(AHP Subsidy Request)</t>
    </r>
  </si>
  <si>
    <t>comm. Sq/ft &gt;0 and uses =0</t>
  </si>
  <si>
    <t>comm. Sq/ft =0 and uses &gt;0</t>
  </si>
  <si>
    <t>Total Development Costs (Net of Developer Fee):</t>
  </si>
  <si>
    <t>Developer Fee:</t>
  </si>
  <si>
    <t>Soft Costs Contingency:</t>
  </si>
  <si>
    <t>Soft Costs less Soft Cost Contingency:</t>
  </si>
  <si>
    <t>Soft Costs:</t>
  </si>
  <si>
    <t>Total Development Costs:</t>
  </si>
  <si>
    <t>Acquisition</t>
  </si>
  <si>
    <t>Construction (Hard Costs)</t>
  </si>
  <si>
    <t>Development (Soft Costs)</t>
  </si>
  <si>
    <t>Predevelopment (Soft Costs)</t>
  </si>
  <si>
    <t>Average Mortgage Term (months)</t>
  </si>
  <si>
    <t>Tax Credit, Construction, or Rehabilitation:</t>
  </si>
  <si>
    <t>2 Bedrooms</t>
  </si>
  <si>
    <t>3 Bedrooms</t>
  </si>
  <si>
    <t>4 Bedrooms</t>
  </si>
  <si>
    <t>5 Bedrooms</t>
  </si>
  <si>
    <t>Estimated Amount of Each Mortgage</t>
  </si>
  <si>
    <t>Construction, Acquisition, or Rehabilitation:</t>
  </si>
  <si>
    <t>Select 'Yes' or 'No'</t>
  </si>
  <si>
    <t>Commercial Space:</t>
  </si>
  <si>
    <t>Sponsor Provided Financing:</t>
  </si>
  <si>
    <t>15% of effective gross income</t>
  </si>
  <si>
    <t>Net cash flow to EGI Benchmark</t>
  </si>
  <si>
    <t>Off-site Management Fee:</t>
  </si>
  <si>
    <t>Gross Income:</t>
  </si>
  <si>
    <t>Key Expenses:</t>
  </si>
  <si>
    <t>Key Expenses/Unit/Year:</t>
  </si>
  <si>
    <t>Units:</t>
  </si>
  <si>
    <t>Net Cash Flow:</t>
  </si>
  <si>
    <t>Operating Reserves:</t>
  </si>
  <si>
    <t>Construction, Rehabilitation or Acquisition:</t>
  </si>
  <si>
    <t>N/A - Acquistion</t>
  </si>
  <si>
    <t>Input the Project State and County Below:</t>
  </si>
  <si>
    <t>Manually Input the Project State, County Name, and Four Person 50% AMI Below:</t>
  </si>
  <si>
    <t>Tenant Income
Verification
(TIV)</t>
  </si>
  <si>
    <r>
      <t xml:space="preserve">Completion of this Attachment is required </t>
    </r>
    <r>
      <rPr>
        <i/>
        <u/>
        <sz val="9"/>
        <color theme="1" tint="0.249977111117893"/>
        <rFont val="Arial"/>
        <family val="2"/>
      </rPr>
      <t>only</t>
    </r>
    <r>
      <rPr>
        <i/>
        <sz val="9"/>
        <color theme="1" tint="0.249977111117893"/>
        <rFont val="Arial"/>
        <family val="2"/>
      </rPr>
      <t xml:space="preserve"> for projects in which the Sponsor will make a below-market interest rate repayable loan, holding the first mortgage on the property.  </t>
    </r>
  </si>
  <si>
    <t>Fields that are shaded are not editable and contain a calculation or a link to another cell(s) in the workbook.</t>
  </si>
  <si>
    <t>Show infrastructure costs separately from rehab or construction costs.</t>
  </si>
  <si>
    <t>If submitting a mutual self-help project, include the costs of lot development here.</t>
  </si>
  <si>
    <t>AHP funds may not be used to determine if a project is feasible. However, AHP funds may by used to reimburse predevelopment expenses after the project has been determined to be feasible. Such expenses must have been incurred prior to submission of the AHP application.</t>
  </si>
  <si>
    <t>Cash Use of Funds</t>
  </si>
  <si>
    <t>These include costs paid to a management agent and/or that the project sponsor would pay themselves for off-site and/or centralized costs associated with the property. These can include administration, accounting and audit, compliance, and legal. Please also include in this line item any monitoring fees that are to be paid by the property, such as those paid annually to a Housing Finance Agency for LIHTC. No supportive or social services expenses are to be included.</t>
  </si>
  <si>
    <t>Payroll expenses, office supplies and equipment, advertising, security, common/community cable and internet and any other expenses directly related to the management expense of on-site staff. No supportive or social services expenses are to be included.</t>
  </si>
  <si>
    <t>Effective Gross Income (EGI)</t>
  </si>
  <si>
    <t>Net Operating Income (NOI)</t>
  </si>
  <si>
    <t>Does the Sources Statement include estimates of all funds proposed, approved, and received?</t>
  </si>
  <si>
    <t>Select  "Yes" to certify:</t>
  </si>
  <si>
    <t>Total Permanent Sources:</t>
  </si>
  <si>
    <t>Total Uses of Funds:</t>
  </si>
  <si>
    <t>Cap op reserves on proforma (1=Y)</t>
  </si>
  <si>
    <t>Cap op reserves on Uses (1=Y)</t>
  </si>
  <si>
    <t>Conventional</t>
  </si>
  <si>
    <t>Cash Flow</t>
  </si>
  <si>
    <t>Deferred</t>
  </si>
  <si>
    <t>Percent Allocated for Commercial Uses</t>
  </si>
  <si>
    <t>Annual Debt Service (Conventional)</t>
  </si>
  <si>
    <t>Amount for Debt Service Calc</t>
  </si>
  <si>
    <t>Percent for Commercial</t>
  </si>
  <si>
    <t>Other DS Override from Sources</t>
  </si>
  <si>
    <t>Amount for commercial for conventional loan</t>
  </si>
  <si>
    <t>Amount for commercial for Other loan</t>
  </si>
  <si>
    <t>Tax Credit Financing:</t>
  </si>
  <si>
    <t>Type of
Repayment</t>
  </si>
  <si>
    <t>Tenant Paid Rent</t>
  </si>
  <si>
    <t>Please explain why the developer fee is greater than 10% of the total development cost:</t>
  </si>
  <si>
    <t>Please explain why the developer fee is greater than 15% of the total development cost:</t>
  </si>
  <si>
    <t>Section 8</t>
  </si>
  <si>
    <t>PRAC</t>
  </si>
  <si>
    <t>RD RA</t>
  </si>
  <si>
    <t>Project Info. &amp; Instructions</t>
  </si>
  <si>
    <t>Sales Price Per Unit</t>
  </si>
  <si>
    <t>Mortgage
Rate</t>
  </si>
  <si>
    <t>Mortgage Term
(Months)</t>
  </si>
  <si>
    <t>Monthly Principal &amp; Interest</t>
  </si>
  <si>
    <t>Monthly Taxes and Insurance</t>
  </si>
  <si>
    <t>Total Annual
PITI</t>
  </si>
  <si>
    <t>Total Sources</t>
  </si>
  <si>
    <t>Total Uses</t>
  </si>
  <si>
    <t>Commercial?</t>
  </si>
  <si>
    <t>Percent allocated</t>
  </si>
  <si>
    <t>Date
Funds Approved or Expected</t>
  </si>
  <si>
    <t>Occupied Rehab?</t>
  </si>
  <si>
    <t>, NAHASDA</t>
  </si>
  <si>
    <t>Missing Other Perm Loan DS</t>
  </si>
  <si>
    <t>Missing Cash Flow Loans DS</t>
  </si>
  <si>
    <t>Name</t>
  </si>
  <si>
    <t>App#</t>
  </si>
  <si>
    <t>Amortization warning msg.</t>
  </si>
  <si>
    <t>Occupied:</t>
  </si>
  <si>
    <t>Target Area Median
Income</t>
  </si>
  <si>
    <t>Const. Loan (1= Y, 0=N)</t>
  </si>
  <si>
    <t>Use of Funds Statement</t>
  </si>
  <si>
    <t>Rent Schedule</t>
  </si>
  <si>
    <t>15 Year Rental ProForma</t>
  </si>
  <si>
    <t>Owner-occupied Housing Expense</t>
  </si>
  <si>
    <t>Owner-Occupied Sponsor Provided Financing</t>
  </si>
  <si>
    <t>Rental Operating ProForma</t>
  </si>
  <si>
    <t>Commercial ProForma</t>
  </si>
  <si>
    <t>Tenant Income Verification (TIV)</t>
  </si>
  <si>
    <t>Data entry fields are identified by a bordered cell with no shading.                    Example:</t>
  </si>
  <si>
    <t>Input the total square feet for the housing portion of the project.</t>
  </si>
  <si>
    <t>If the project is rental, and has commercial space, input the total square feet for the commercial portion of the project.</t>
  </si>
  <si>
    <t>Number
of Units</t>
  </si>
  <si>
    <t>Input the vacancy rate.</t>
  </si>
  <si>
    <t>Input operating expenses.</t>
  </si>
  <si>
    <t>If capitalized operating reserves are on the Uses Statement, operating reserves may not be listed on the Rental Operating ProForma.</t>
  </si>
  <si>
    <t>Hard Debt Service</t>
  </si>
  <si>
    <t>Input the rental income for years 1 through 15 for the commercial portion of the rental project only.</t>
  </si>
  <si>
    <t>Source and Use of Funds</t>
  </si>
  <si>
    <r>
      <t xml:space="preserve">Address all items in </t>
    </r>
    <r>
      <rPr>
        <b/>
        <sz val="9"/>
        <color rgb="FFFF0000"/>
        <rFont val="Arial"/>
        <family val="2"/>
      </rPr>
      <t>red</t>
    </r>
    <r>
      <rPr>
        <sz val="9"/>
        <color theme="1" tint="0.34998626667073579"/>
        <rFont val="Arial"/>
        <family val="2"/>
      </rPr>
      <t xml:space="preserve"> text.</t>
    </r>
  </si>
  <si>
    <t>Cost Reasonableness Benchmarks</t>
  </si>
  <si>
    <t xml:space="preserve">What is the per square foot construction costs listed as the hard debt subtotal on the uses statement? 
Calculate costs listed in the “housing” column of the Uses Statement. 
</t>
  </si>
  <si>
    <t>Hard &amp; Soft Debt</t>
  </si>
  <si>
    <t>Operational Feasibility Benchmarks (Rental Projects Only)</t>
  </si>
  <si>
    <t>Rehabilitation Expenses</t>
  </si>
  <si>
    <t>Input the total number of units reserved for homeless households. The adjacent cell will calculate the percentage of total units in the project reserved for homeless households.</t>
  </si>
  <si>
    <t>Provide an explanation for any category that does not meet the benchmark. Categories that require an explanation will be indicated in the "Check" column. If the category is outside of the benchmark, the "Check" column will say "Please Explain." If the category is within the benchmark, the "Check" column will show "OK."</t>
  </si>
  <si>
    <r>
      <t>In the "</t>
    </r>
    <r>
      <rPr>
        <b/>
        <sz val="9"/>
        <color theme="1" tint="0.14999847407452621"/>
        <rFont val="Arial"/>
        <family val="2"/>
      </rPr>
      <t>Amount</t>
    </r>
    <r>
      <rPr>
        <sz val="9"/>
        <color theme="1" tint="0.14999847407452621"/>
        <rFont val="Arial"/>
        <family val="2"/>
      </rPr>
      <t>" column, input the source amount approved, or the amount that is being requested or proposed.</t>
    </r>
  </si>
  <si>
    <r>
      <t>In the "</t>
    </r>
    <r>
      <rPr>
        <b/>
        <sz val="9"/>
        <color theme="1" tint="0.14999847407452621"/>
        <rFont val="Arial"/>
        <family val="2"/>
      </rPr>
      <t>Description</t>
    </r>
    <r>
      <rPr>
        <sz val="9"/>
        <color theme="1" tint="0.14999847407452621"/>
        <rFont val="Arial"/>
        <family val="2"/>
      </rPr>
      <t>" column, select the appropriate funding descriptions from the dropdown.</t>
    </r>
  </si>
  <si>
    <r>
      <t>In the "</t>
    </r>
    <r>
      <rPr>
        <b/>
        <sz val="9"/>
        <color theme="1" tint="0.14999847407452621"/>
        <rFont val="Arial"/>
        <family val="2"/>
      </rPr>
      <t>Status</t>
    </r>
    <r>
      <rPr>
        <sz val="9"/>
        <color theme="1" tint="0.14999847407452621"/>
        <rFont val="Arial"/>
        <family val="2"/>
      </rPr>
      <t>" column note whether the Funds are Proposed, Requested or Approved.</t>
    </r>
  </si>
  <si>
    <r>
      <rPr>
        <b/>
        <sz val="9"/>
        <color theme="1" tint="0.14999847407452621"/>
        <rFont val="Arial"/>
        <family val="2"/>
      </rPr>
      <t>Conventional</t>
    </r>
    <r>
      <rPr>
        <sz val="9"/>
        <color theme="1" tint="0.14999847407452621"/>
        <rFont val="Arial"/>
        <family val="2"/>
      </rPr>
      <t>: A conventional amortizing loan where payments are due on a  schedule.</t>
    </r>
  </si>
  <si>
    <r>
      <rPr>
        <b/>
        <sz val="9"/>
        <color theme="1" tint="0.14999847407452621"/>
        <rFont val="Arial"/>
        <family val="2"/>
      </rPr>
      <t>Cash Flow</t>
    </r>
    <r>
      <rPr>
        <sz val="9"/>
        <color theme="1" tint="0.14999847407452621"/>
        <rFont val="Arial"/>
        <family val="2"/>
      </rPr>
      <t>: A loan that is paid with net cash flow generated by the project.</t>
    </r>
  </si>
  <si>
    <r>
      <rPr>
        <b/>
        <sz val="9"/>
        <color theme="1" tint="0.14999847407452621"/>
        <rFont val="Arial"/>
        <family val="2"/>
      </rPr>
      <t>Other</t>
    </r>
    <r>
      <rPr>
        <sz val="9"/>
        <color theme="1" tint="0.14999847407452621"/>
        <rFont val="Arial"/>
        <family val="2"/>
      </rPr>
      <t>: A type of loan not does not meet one of the above definitions.</t>
    </r>
  </si>
  <si>
    <r>
      <t>In the "</t>
    </r>
    <r>
      <rPr>
        <b/>
        <sz val="9"/>
        <color theme="1" tint="0.14999847407452621"/>
        <rFont val="Arial"/>
        <family val="2"/>
      </rPr>
      <t>Date Funds Approved or Expected</t>
    </r>
    <r>
      <rPr>
        <sz val="9"/>
        <color theme="1" tint="0.14999847407452621"/>
        <rFont val="Arial"/>
        <family val="2"/>
      </rPr>
      <t>" column, input the date that the funds were approved, or the anticipated approval date.
Note: If the  funds are marked as approved in the "Status" column, the workbook will not allow for a future date. If the fund are marked as proposed or requested, the workbook will not allow for a date in the past.</t>
    </r>
  </si>
  <si>
    <r>
      <t>In the "</t>
    </r>
    <r>
      <rPr>
        <b/>
        <sz val="9"/>
        <color theme="1" tint="0.14999847407452621"/>
        <rFont val="Arial"/>
        <family val="2"/>
      </rPr>
      <t>Percent Allocated for Commercial Use"</t>
    </r>
    <r>
      <rPr>
        <sz val="9"/>
        <color theme="1" tint="0.14999847407452621"/>
        <rFont val="Arial"/>
        <family val="2"/>
      </rPr>
      <t xml:space="preserve"> column, input the portion of the funds that will be used for commercial space. Only applicable for rental projects where commercial space was indicated on the </t>
    </r>
    <r>
      <rPr>
        <b/>
        <i/>
        <sz val="9"/>
        <color theme="1" tint="0.14999847407452621"/>
        <rFont val="Arial"/>
        <family val="2"/>
      </rPr>
      <t>Project Info &amp; Instructions</t>
    </r>
    <r>
      <rPr>
        <sz val="9"/>
        <color theme="1" tint="0.14999847407452621"/>
        <rFont val="Arial"/>
        <family val="2"/>
      </rPr>
      <t xml:space="preserve"> page.</t>
    </r>
  </si>
  <si>
    <r>
      <t>If inputting '</t>
    </r>
    <r>
      <rPr>
        <b/>
        <sz val="9"/>
        <color theme="1" tint="0.14999847407452621"/>
        <rFont val="Arial"/>
        <family val="2"/>
      </rPr>
      <t>other</t>
    </r>
    <r>
      <rPr>
        <sz val="9"/>
        <color theme="1" tint="0.14999847407452621"/>
        <rFont val="Arial"/>
        <family val="2"/>
      </rPr>
      <t>' uses, a description is required before an amount can be input.</t>
    </r>
  </si>
  <si>
    <t>Certify that the Sources Statement include estimates of all funds proposed, approved, and received.</t>
  </si>
  <si>
    <t>Conventional Permanent Loans</t>
  </si>
  <si>
    <t>Workbook Instructions</t>
  </si>
  <si>
    <t>For projects involving the purchase or rehabilitation of rental housing that already is occupied, a household must have an income meeting the income targeting commitments in the approved AHP application, at the time the application for AHP subsidy is submitted to the Bank for approval.</t>
  </si>
  <si>
    <r>
      <t xml:space="preserve">In the </t>
    </r>
    <r>
      <rPr>
        <b/>
        <sz val="9"/>
        <color theme="1" tint="0.14999847407452621"/>
        <rFont val="Arial"/>
        <family val="2"/>
      </rPr>
      <t xml:space="preserve">"Target Area Median Income" </t>
    </r>
    <r>
      <rPr>
        <sz val="9"/>
        <color theme="1" tint="0.14999847407452621"/>
        <rFont val="Arial"/>
        <family val="2"/>
      </rPr>
      <t xml:space="preserve">column, select the target AMI for the rental unit(s). This is not required for units listed under the </t>
    </r>
    <r>
      <rPr>
        <b/>
        <sz val="9"/>
        <color theme="1" tint="0.14999847407452621"/>
        <rFont val="Arial"/>
        <family val="2"/>
      </rPr>
      <t>"Non-Income Restricted Manager Units"</t>
    </r>
    <r>
      <rPr>
        <sz val="9"/>
        <color theme="1" tint="0.14999847407452621"/>
        <rFont val="Arial"/>
        <family val="2"/>
      </rPr>
      <t xml:space="preserve"> table.</t>
    </r>
  </si>
  <si>
    <r>
      <t xml:space="preserve">In the </t>
    </r>
    <r>
      <rPr>
        <b/>
        <sz val="9"/>
        <color theme="1" tint="0.14999847407452621"/>
        <rFont val="Arial"/>
        <family val="2"/>
      </rPr>
      <t>"Number of Bedrooms"</t>
    </r>
    <r>
      <rPr>
        <sz val="9"/>
        <color theme="1" tint="0.14999847407452621"/>
        <rFont val="Arial"/>
        <family val="2"/>
      </rPr>
      <t xml:space="preserve"> column, select the number of bedrooms from the dropdown.</t>
    </r>
  </si>
  <si>
    <r>
      <t xml:space="preserve">In the </t>
    </r>
    <r>
      <rPr>
        <b/>
        <sz val="9"/>
        <color theme="1" tint="0.14999847407452621"/>
        <rFont val="Arial"/>
        <family val="2"/>
      </rPr>
      <t>"Number of Units"</t>
    </r>
    <r>
      <rPr>
        <sz val="9"/>
        <color theme="1" tint="0.14999847407452621"/>
        <rFont val="Arial"/>
        <family val="2"/>
      </rPr>
      <t xml:space="preserve"> column, input the number of units for the target AMI and number of bedrooms indicated for that row.</t>
    </r>
  </si>
  <si>
    <r>
      <t xml:space="preserve">In the </t>
    </r>
    <r>
      <rPr>
        <b/>
        <sz val="9"/>
        <color theme="1" tint="0.14999847407452621"/>
        <rFont val="Arial"/>
        <family val="2"/>
      </rPr>
      <t>"Tenant Paid Rent"</t>
    </r>
    <r>
      <rPr>
        <sz val="9"/>
        <color theme="1" tint="0.14999847407452621"/>
        <rFont val="Arial"/>
        <family val="2"/>
      </rPr>
      <t xml:space="preserve"> column, input the rent that is paid, or will be paid, by the tenant after any subsidies. For example, if the total rent received is $500, and the tenant received $100 in rent subsidy, the tenant paid rent would be $400.</t>
    </r>
  </si>
  <si>
    <r>
      <t xml:space="preserve">The </t>
    </r>
    <r>
      <rPr>
        <b/>
        <sz val="9"/>
        <color theme="1" tint="0.14999847407452621"/>
        <rFont val="Arial"/>
        <family val="2"/>
      </rPr>
      <t>"Subsidy Amount"</t>
    </r>
    <r>
      <rPr>
        <sz val="9"/>
        <color theme="1" tint="0.14999847407452621"/>
        <rFont val="Arial"/>
        <family val="2"/>
      </rPr>
      <t xml:space="preserve"> column will automatically calculate the subsidy received by subtracting the tenant paid rent from the total unit rent received.</t>
    </r>
  </si>
  <si>
    <r>
      <t xml:space="preserve">In the </t>
    </r>
    <r>
      <rPr>
        <b/>
        <sz val="9"/>
        <color theme="1" tint="0.14999847407452621"/>
        <rFont val="Arial"/>
        <family val="2"/>
      </rPr>
      <t>"Type of Subsidy"</t>
    </r>
    <r>
      <rPr>
        <sz val="9"/>
        <color theme="1" tint="0.14999847407452621"/>
        <rFont val="Arial"/>
        <family val="2"/>
      </rPr>
      <t xml:space="preserve"> column, select the type of subsidy being received. This is required if the </t>
    </r>
    <r>
      <rPr>
        <b/>
        <sz val="9"/>
        <color theme="1" tint="0.14999847407452621"/>
        <rFont val="Arial"/>
        <family val="2"/>
      </rPr>
      <t>"Subsidy Amount"</t>
    </r>
    <r>
      <rPr>
        <sz val="9"/>
        <color theme="1" tint="0.14999847407452621"/>
        <rFont val="Arial"/>
        <family val="2"/>
      </rPr>
      <t xml:space="preserve"> column is greater than $0.  If the </t>
    </r>
    <r>
      <rPr>
        <b/>
        <sz val="9"/>
        <color theme="1" tint="0.14999847407452621"/>
        <rFont val="Arial"/>
        <family val="2"/>
      </rPr>
      <t>"Subsidy Amount"</t>
    </r>
    <r>
      <rPr>
        <sz val="9"/>
        <color theme="1" tint="0.14999847407452621"/>
        <rFont val="Arial"/>
        <family val="2"/>
      </rPr>
      <t xml:space="preserve"> column is $0, the </t>
    </r>
    <r>
      <rPr>
        <b/>
        <sz val="9"/>
        <color theme="1" tint="0.14999847407452621"/>
        <rFont val="Arial"/>
        <family val="2"/>
      </rPr>
      <t>"Type of Subsidy"</t>
    </r>
    <r>
      <rPr>
        <sz val="9"/>
        <color theme="1" tint="0.14999847407452621"/>
        <rFont val="Arial"/>
        <family val="2"/>
      </rPr>
      <t xml:space="preserve"> dropdown will not be available.</t>
    </r>
  </si>
  <si>
    <r>
      <t xml:space="preserve">The </t>
    </r>
    <r>
      <rPr>
        <b/>
        <sz val="9"/>
        <color theme="1" tint="0.14999847407452621"/>
        <rFont val="Arial"/>
        <family val="2"/>
      </rPr>
      <t>"Assumed Household Size"</t>
    </r>
    <r>
      <rPr>
        <sz val="9"/>
        <color theme="1" tint="0.14999847407452621"/>
        <rFont val="Arial"/>
        <family val="2"/>
      </rPr>
      <t xml:space="preserve"> column only allows for whole numbers.</t>
    </r>
  </si>
  <si>
    <r>
      <t xml:space="preserve">In the </t>
    </r>
    <r>
      <rPr>
        <b/>
        <sz val="9"/>
        <color theme="1" tint="0.14999847407452621"/>
        <rFont val="Arial"/>
        <family val="2"/>
      </rPr>
      <t>"Monthly Utilities"</t>
    </r>
    <r>
      <rPr>
        <sz val="9"/>
        <color theme="1" tint="0.14999847407452621"/>
        <rFont val="Arial"/>
        <family val="2"/>
      </rPr>
      <t xml:space="preserve"> column, input the total utilities amount paid, or to be paid, by each tenant. Input $0 if no utilities are paid.</t>
    </r>
  </si>
  <si>
    <r>
      <t>If inputting '</t>
    </r>
    <r>
      <rPr>
        <b/>
        <sz val="9"/>
        <color theme="1" tint="0.14999847407452621"/>
        <rFont val="Arial"/>
        <family val="2"/>
      </rPr>
      <t>other</t>
    </r>
    <r>
      <rPr>
        <sz val="9"/>
        <color theme="1" tint="0.14999847407452621"/>
        <rFont val="Arial"/>
        <family val="2"/>
      </rPr>
      <t>' income, a description is required before an amount can be input.</t>
    </r>
  </si>
  <si>
    <r>
      <t>If inputting '</t>
    </r>
    <r>
      <rPr>
        <b/>
        <sz val="9"/>
        <color theme="1" tint="0.14999847407452621"/>
        <rFont val="Arial"/>
        <family val="2"/>
      </rPr>
      <t>other</t>
    </r>
    <r>
      <rPr>
        <sz val="9"/>
        <color theme="1" tint="0.14999847407452621"/>
        <rFont val="Arial"/>
        <family val="2"/>
      </rPr>
      <t>' expenses, a description is required before an amount can be input.</t>
    </r>
  </si>
  <si>
    <r>
      <t xml:space="preserve">If the project has loans, list the lender name, points, fees, and other charges.
Note: The name of the loan, the loan amount, interest rate, amortization, and annual debt service will automatically carry over from the </t>
    </r>
    <r>
      <rPr>
        <b/>
        <sz val="9"/>
        <color theme="1" tint="0.14999847407452621"/>
        <rFont val="Arial"/>
        <family val="2"/>
      </rPr>
      <t>Sources Statement</t>
    </r>
    <r>
      <rPr>
        <sz val="9"/>
        <color theme="1" tint="0.14999847407452621"/>
        <rFont val="Arial"/>
        <family val="2"/>
      </rPr>
      <t>.</t>
    </r>
  </si>
  <si>
    <r>
      <t xml:space="preserve">The number of rows in the TIV will automatically be generated based on the number of units indicated on the </t>
    </r>
    <r>
      <rPr>
        <b/>
        <sz val="9"/>
        <color theme="1" tint="0.14999847407452621"/>
        <rFont val="Arial"/>
        <family val="2"/>
      </rPr>
      <t>Rent Schedule</t>
    </r>
    <r>
      <rPr>
        <sz val="9"/>
        <color theme="1" tint="0.14999847407452621"/>
        <rFont val="Arial"/>
        <family val="2"/>
      </rPr>
      <t>.</t>
    </r>
  </si>
  <si>
    <r>
      <t xml:space="preserve">The number of units indicated on the TIV must match the number of units indicated on the </t>
    </r>
    <r>
      <rPr>
        <b/>
        <sz val="9"/>
        <color theme="1" tint="0.14999847407452621"/>
        <rFont val="Arial"/>
        <family val="2"/>
      </rPr>
      <t>Rent Schedule</t>
    </r>
    <r>
      <rPr>
        <sz val="9"/>
        <color theme="1" tint="0.14999847407452621"/>
        <rFont val="Arial"/>
        <family val="2"/>
      </rPr>
      <t>.  Information must be included in all provided rows.</t>
    </r>
  </si>
  <si>
    <r>
      <t xml:space="preserve">Input the </t>
    </r>
    <r>
      <rPr>
        <b/>
        <sz val="9"/>
        <color theme="1" tint="0.14999847407452621"/>
        <rFont val="Arial"/>
        <family val="2"/>
      </rPr>
      <t>name of individual completing the TIV</t>
    </r>
    <r>
      <rPr>
        <sz val="9"/>
        <color theme="1" tint="0.14999847407452621"/>
        <rFont val="Arial"/>
        <family val="2"/>
      </rPr>
      <t>.</t>
    </r>
  </si>
  <si>
    <r>
      <t xml:space="preserve">Input the </t>
    </r>
    <r>
      <rPr>
        <b/>
        <sz val="9"/>
        <color theme="1" tint="0.14999847407452621"/>
        <rFont val="Arial"/>
        <family val="2"/>
      </rPr>
      <t>phone number for the individual completing the TIV.</t>
    </r>
  </si>
  <si>
    <r>
      <t xml:space="preserve">Input the </t>
    </r>
    <r>
      <rPr>
        <b/>
        <sz val="9"/>
        <color theme="1" tint="0.14999847407452621"/>
        <rFont val="Arial"/>
        <family val="2"/>
      </rPr>
      <t>email address for the individual completing the TIV.</t>
    </r>
  </si>
  <si>
    <r>
      <t xml:space="preserve">Input the </t>
    </r>
    <r>
      <rPr>
        <b/>
        <sz val="9"/>
        <color theme="1" tint="0.14999847407452621"/>
        <rFont val="Arial"/>
        <family val="2"/>
      </rPr>
      <t xml:space="preserve">as of date </t>
    </r>
    <r>
      <rPr>
        <sz val="9"/>
        <color theme="1" tint="0.14999847407452621"/>
        <rFont val="Arial"/>
        <family val="2"/>
      </rPr>
      <t>for the TIV, which should be on or before the AHP application due date.</t>
    </r>
  </si>
  <si>
    <r>
      <t xml:space="preserve">Input the </t>
    </r>
    <r>
      <rPr>
        <b/>
        <sz val="9"/>
        <color theme="1" tint="0.14999847407452621"/>
        <rFont val="Arial"/>
        <family val="2"/>
      </rPr>
      <t xml:space="preserve">unit number </t>
    </r>
    <r>
      <rPr>
        <sz val="9"/>
        <color theme="1" tint="0.14999847407452621"/>
        <rFont val="Arial"/>
        <family val="2"/>
      </rPr>
      <t>for all units (e.g. Unit A6).</t>
    </r>
  </si>
  <si>
    <r>
      <t>Select the</t>
    </r>
    <r>
      <rPr>
        <b/>
        <sz val="9"/>
        <color theme="1" tint="0.14999847407452621"/>
        <rFont val="Arial"/>
        <family val="2"/>
      </rPr>
      <t xml:space="preserve"> number of bedrooms </t>
    </r>
    <r>
      <rPr>
        <sz val="9"/>
        <color theme="1" tint="0.14999847407452621"/>
        <rFont val="Arial"/>
        <family val="2"/>
      </rPr>
      <t>from the dropdown.</t>
    </r>
  </si>
  <si>
    <r>
      <t xml:space="preserve">In the </t>
    </r>
    <r>
      <rPr>
        <b/>
        <sz val="9"/>
        <color theme="1" tint="0.14999847407452621"/>
        <rFont val="Arial"/>
        <family val="2"/>
      </rPr>
      <t>"Current Income"</t>
    </r>
    <r>
      <rPr>
        <sz val="9"/>
        <color theme="1" tint="0.14999847407452621"/>
        <rFont val="Arial"/>
        <family val="2"/>
      </rPr>
      <t xml:space="preserve"> column, input current total household income.  </t>
    </r>
  </si>
  <si>
    <r>
      <t xml:space="preserve">In the </t>
    </r>
    <r>
      <rPr>
        <b/>
        <sz val="9"/>
        <color theme="1" tint="0.14999847407452621"/>
        <rFont val="Arial"/>
        <family val="2"/>
      </rPr>
      <t>"Special Needs"</t>
    </r>
    <r>
      <rPr>
        <sz val="9"/>
        <color theme="1" tint="0.14999847407452621"/>
        <rFont val="Arial"/>
        <family val="2"/>
      </rPr>
      <t xml:space="preserve"> column, indicate whether or not the current tenant is a special needs household by selecting "Yes" or "No" from the dropdown.</t>
    </r>
  </si>
  <si>
    <t xml:space="preserve">            OR</t>
  </si>
  <si>
    <r>
      <t>In the "</t>
    </r>
    <r>
      <rPr>
        <b/>
        <sz val="9"/>
        <color theme="1" tint="0.14999847407452621"/>
        <rFont val="Arial"/>
        <family val="2"/>
      </rPr>
      <t>Interest Rate</t>
    </r>
    <r>
      <rPr>
        <sz val="9"/>
        <color theme="1" tint="0.14999847407452621"/>
        <rFont val="Arial"/>
        <family val="2"/>
      </rPr>
      <t>" column, input the interest rate of the loan. Only applicable if the source description is construction loan or permanent loan.</t>
    </r>
  </si>
  <si>
    <r>
      <t>In the "</t>
    </r>
    <r>
      <rPr>
        <b/>
        <sz val="9"/>
        <color theme="1" tint="0.14999847407452621"/>
        <rFont val="Arial"/>
        <family val="2"/>
      </rPr>
      <t>Term</t>
    </r>
    <r>
      <rPr>
        <sz val="9"/>
        <color theme="1" tint="0.14999847407452621"/>
        <rFont val="Arial"/>
        <family val="2"/>
      </rPr>
      <t>" column, input the term (in months) of the loan. Only applicable if the source description is construction loan or permanent loan.</t>
    </r>
  </si>
  <si>
    <r>
      <t>In the "</t>
    </r>
    <r>
      <rPr>
        <b/>
        <sz val="9"/>
        <color theme="1" tint="0.14999847407452621"/>
        <rFont val="Arial"/>
        <family val="2"/>
      </rPr>
      <t>Type of Repayment</t>
    </r>
    <r>
      <rPr>
        <sz val="9"/>
        <color theme="1" tint="0.14999847407452621"/>
        <rFont val="Arial"/>
        <family val="2"/>
      </rPr>
      <t>" column, select conventional, cash flow, deferred, or other as applicable for the permanent loan.</t>
    </r>
  </si>
  <si>
    <r>
      <t>In the "</t>
    </r>
    <r>
      <rPr>
        <b/>
        <sz val="9"/>
        <color theme="1" tint="0.14999847407452621"/>
        <rFont val="Arial"/>
        <family val="2"/>
      </rPr>
      <t>Amortization</t>
    </r>
    <r>
      <rPr>
        <sz val="9"/>
        <color theme="1" tint="0.14999847407452621"/>
        <rFont val="Arial"/>
        <family val="2"/>
      </rPr>
      <t>" column, input the amortization (in months) of the loan. Only applicable for non-deferred permanent loans.</t>
    </r>
  </si>
  <si>
    <r>
      <t xml:space="preserve">The source name and the annual debt service will automatically carry over from the </t>
    </r>
    <r>
      <rPr>
        <b/>
        <sz val="9"/>
        <color theme="1" tint="0.14999847407452621"/>
        <rFont val="Arial"/>
        <family val="2"/>
      </rPr>
      <t>Sources Statement</t>
    </r>
    <r>
      <rPr>
        <sz val="9"/>
        <color theme="1" tint="0.14999847407452621"/>
        <rFont val="Arial"/>
        <family val="2"/>
      </rPr>
      <t xml:space="preserve"> where the source type is permanent loan, and the type of repayment is "Conventional", and all or a portion of the source is for rental housing. Only the portion of debt service that is for rental housing will populate. For example, if the </t>
    </r>
    <r>
      <rPr>
        <b/>
        <sz val="9"/>
        <color theme="1" tint="0.14999847407452621"/>
        <rFont val="Arial"/>
        <family val="2"/>
      </rPr>
      <t>Uses Statement</t>
    </r>
    <r>
      <rPr>
        <sz val="9"/>
        <color theme="1" tint="0.14999847407452621"/>
        <rFont val="Arial"/>
        <family val="2"/>
      </rPr>
      <t xml:space="preserve"> indicates that 25 percent of the funds are allocated to commercial, and the annual debt service is $20,000, then $15,000 will carry over to the </t>
    </r>
    <r>
      <rPr>
        <b/>
        <sz val="9"/>
        <color theme="1" tint="0.14999847407452621"/>
        <rFont val="Arial"/>
        <family val="2"/>
      </rPr>
      <t>Rental ProForma</t>
    </r>
    <r>
      <rPr>
        <sz val="9"/>
        <color theme="1" tint="0.14999847407452621"/>
        <rFont val="Arial"/>
        <family val="2"/>
      </rPr>
      <t xml:space="preserve">, and $5,000 will carry over to the </t>
    </r>
    <r>
      <rPr>
        <b/>
        <sz val="9"/>
        <color theme="1" tint="0.14999847407452621"/>
        <rFont val="Arial"/>
        <family val="2"/>
      </rPr>
      <t>Commercial ProForma</t>
    </r>
    <r>
      <rPr>
        <sz val="9"/>
        <color theme="1" tint="0.14999847407452621"/>
        <rFont val="Arial"/>
        <family val="2"/>
      </rPr>
      <t>.</t>
    </r>
  </si>
  <si>
    <t>Other Permanent Loans</t>
  </si>
  <si>
    <t>Cash Service Loans</t>
  </si>
  <si>
    <r>
      <t xml:space="preserve">The source name will automatically carry over from the </t>
    </r>
    <r>
      <rPr>
        <b/>
        <sz val="9"/>
        <color theme="1" tint="0.14999847407452621"/>
        <rFont val="Arial"/>
        <family val="2"/>
      </rPr>
      <t>Sources Statement</t>
    </r>
    <r>
      <rPr>
        <sz val="9"/>
        <color theme="1" tint="0.14999847407452621"/>
        <rFont val="Arial"/>
        <family val="2"/>
      </rPr>
      <t xml:space="preserve"> where the source type is permanent loan, and the type of repayment is "Other" and all or a portion of the source is for commercial space. The debt service for each funding source listed needs to be manually input for years 1 through 15 on the </t>
    </r>
    <r>
      <rPr>
        <b/>
        <sz val="9"/>
        <color theme="1" tint="0.14999847407452621"/>
        <rFont val="Arial"/>
        <family val="2"/>
      </rPr>
      <t>Commercial ProForma</t>
    </r>
    <r>
      <rPr>
        <sz val="9"/>
        <color theme="1" tint="0.14999847407452621"/>
        <rFont val="Arial"/>
        <family val="2"/>
      </rPr>
      <t xml:space="preserve">. If debt service is not paid in a certain year(s), input a $0.
Note: Only the portion of debt service that is for the commercial space should be entered into the </t>
    </r>
    <r>
      <rPr>
        <b/>
        <sz val="9"/>
        <color theme="1" tint="0.14999847407452621"/>
        <rFont val="Arial"/>
        <family val="2"/>
      </rPr>
      <t>Commercial ProForma</t>
    </r>
    <r>
      <rPr>
        <sz val="9"/>
        <color theme="1" tint="0.14999847407452621"/>
        <rFont val="Arial"/>
        <family val="2"/>
      </rPr>
      <t>.</t>
    </r>
  </si>
  <si>
    <r>
      <t xml:space="preserve">The source name will automatically carry over from the </t>
    </r>
    <r>
      <rPr>
        <b/>
        <sz val="9"/>
        <color theme="1" tint="0.14999847407452621"/>
        <rFont val="Arial"/>
        <family val="2"/>
      </rPr>
      <t>Sources Statement</t>
    </r>
    <r>
      <rPr>
        <sz val="9"/>
        <color theme="1" tint="0.14999847407452621"/>
        <rFont val="Arial"/>
        <family val="2"/>
      </rPr>
      <t xml:space="preserve"> where the source type is permanent loan, and the type of repayment is "Cash Flow"  and all or a portion of the source is for commercial space. The debt service for each funding source listed needs to be manually input for years 1 through 15 on the </t>
    </r>
    <r>
      <rPr>
        <b/>
        <sz val="9"/>
        <color theme="1" tint="0.14999847407452621"/>
        <rFont val="Arial"/>
        <family val="2"/>
      </rPr>
      <t>Commercial ProForma</t>
    </r>
    <r>
      <rPr>
        <sz val="9"/>
        <color theme="1" tint="0.14999847407452621"/>
        <rFont val="Arial"/>
        <family val="2"/>
      </rPr>
      <t xml:space="preserve">. If debt service is not paid in a certain year(s), input a $0.
Note: Only the portion of debt service that is for the commercial space should be entered into the </t>
    </r>
    <r>
      <rPr>
        <b/>
        <sz val="9"/>
        <color theme="1" tint="0.14999847407452621"/>
        <rFont val="Arial"/>
        <family val="2"/>
      </rPr>
      <t>Commercial ProForma.</t>
    </r>
  </si>
  <si>
    <t>Vacancy Percentage:</t>
  </si>
  <si>
    <t>Debt Coverage Ratio:</t>
  </si>
  <si>
    <t>Effective Gross Income:</t>
  </si>
  <si>
    <t>Replacement Reserves:</t>
  </si>
  <si>
    <t>Replacement Reserves/Unit/Year:</t>
  </si>
  <si>
    <t>Operating Reserves/Unit/Year:</t>
  </si>
  <si>
    <t>Year One Rental Income:</t>
  </si>
  <si>
    <t>Year Two Rental Income:</t>
  </si>
  <si>
    <t>Annual Rent Increase:</t>
  </si>
  <si>
    <t>Year One Operating Expenses:</t>
  </si>
  <si>
    <t>Year Two Operating Expenses:</t>
  </si>
  <si>
    <t>Annual Operating Expense Increase:</t>
  </si>
  <si>
    <t>Hard Costs Contingency:</t>
  </si>
  <si>
    <t>Hard Costs less Hard Cost Contingency:</t>
  </si>
  <si>
    <t>Capitalized Operating Reserves:</t>
  </si>
  <si>
    <t>Capitalized Replacement Reserves:</t>
  </si>
  <si>
    <t>Capitalized Lease-up Reserves:</t>
  </si>
  <si>
    <r>
      <t xml:space="preserve">Do the capitalized operating reserves exceed 12 months of operating expenses and hard debt service?
</t>
    </r>
    <r>
      <rPr>
        <i/>
        <sz val="9"/>
        <color theme="1" tint="0.249977111117893"/>
        <rFont val="Arial"/>
        <family val="2"/>
      </rPr>
      <t xml:space="preserve">
Note: Operating and replacement reserves listed on the ProForma are excluded from the calculation.</t>
    </r>
    <r>
      <rPr>
        <sz val="9"/>
        <color theme="1" tint="0.249977111117893"/>
        <rFont val="Arial"/>
        <family val="2"/>
      </rPr>
      <t xml:space="preserve">
</t>
    </r>
    <r>
      <rPr>
        <i/>
        <sz val="9"/>
        <color theme="1" tint="0.249977111117893"/>
        <rFont val="Arial"/>
        <family val="2"/>
      </rPr>
      <t>If capitalized operating reserves are on the Uses Statement, operating reserves may not be listed on the Rental Operating ProForma.</t>
    </r>
  </si>
  <si>
    <r>
      <rPr>
        <sz val="9"/>
        <color theme="1" tint="0.249977111117893"/>
        <rFont val="Wingdings"/>
        <charset val="2"/>
      </rPr>
      <t xml:space="preserve"> </t>
    </r>
    <r>
      <rPr>
        <sz val="9"/>
        <color theme="1" tint="0.249977111117893"/>
        <rFont val="Arial"/>
        <family val="2"/>
      </rPr>
      <t>5% and 10% of hard costs for new construction</t>
    </r>
  </si>
  <si>
    <r>
      <rPr>
        <sz val="9"/>
        <color theme="1" tint="0.249977111117893"/>
        <rFont val="Wingdings"/>
        <charset val="2"/>
      </rPr>
      <t xml:space="preserve"> </t>
    </r>
    <r>
      <rPr>
        <sz val="9"/>
        <color theme="1" tint="0.249977111117893"/>
        <rFont val="Arial"/>
        <family val="2"/>
      </rPr>
      <t>7% and 20% for rehabilitation</t>
    </r>
  </si>
  <si>
    <r>
      <t xml:space="preserve">Does the project's uses statement included capitalized reserves?
</t>
    </r>
    <r>
      <rPr>
        <i/>
        <sz val="9"/>
        <color theme="1" tint="0.249977111117893"/>
        <rFont val="Arial"/>
        <family val="2"/>
      </rPr>
      <t>Note: AHP cannot be used to fund these reserves.</t>
    </r>
  </si>
  <si>
    <t>ANCHORAGE</t>
  </si>
  <si>
    <t>FAIRBANKS</t>
  </si>
  <si>
    <t>HONOLULU</t>
  </si>
  <si>
    <t>POCATELLO</t>
  </si>
  <si>
    <t>IDAHO FALLS</t>
  </si>
  <si>
    <t>LEWISTON</t>
  </si>
  <si>
    <t>BOISE</t>
  </si>
  <si>
    <t>COEUR D'ALENE</t>
  </si>
  <si>
    <t>BILLINGS</t>
  </si>
  <si>
    <t>GREAT FALLS</t>
  </si>
  <si>
    <t>MISSOULA</t>
  </si>
  <si>
    <t>PORTLAND</t>
  </si>
  <si>
    <t>SALEM</t>
  </si>
  <si>
    <t>EUGENE</t>
  </si>
  <si>
    <t>MEDFORD</t>
  </si>
  <si>
    <t>BEND</t>
  </si>
  <si>
    <t>SALT LAKE CITY</t>
  </si>
  <si>
    <t>OGDEN</t>
  </si>
  <si>
    <t>LOGAN</t>
  </si>
  <si>
    <t>PROVO</t>
  </si>
  <si>
    <t>SEATTLE</t>
  </si>
  <si>
    <t>EVERETT</t>
  </si>
  <si>
    <t>TACOMA</t>
  </si>
  <si>
    <t>OLYMPIA</t>
  </si>
  <si>
    <t>VANCOUVER</t>
  </si>
  <si>
    <t>WENATCHEE</t>
  </si>
  <si>
    <t>YAKIMA</t>
  </si>
  <si>
    <t>SPOKANE</t>
  </si>
  <si>
    <t>RICHLAND</t>
  </si>
  <si>
    <t>CHEYENNE</t>
  </si>
  <si>
    <t>CASPER</t>
  </si>
  <si>
    <t>Lookup</t>
  </si>
  <si>
    <t>Three Digit Zip code</t>
  </si>
  <si>
    <t>City area</t>
  </si>
  <si>
    <t>F</t>
  </si>
  <si>
    <t>H</t>
  </si>
  <si>
    <t>I</t>
  </si>
  <si>
    <t>J</t>
  </si>
  <si>
    <t>K</t>
  </si>
  <si>
    <t>L</t>
  </si>
  <si>
    <t>M</t>
  </si>
  <si>
    <t>N</t>
  </si>
  <si>
    <t>O</t>
  </si>
  <si>
    <t>ID</t>
  </si>
  <si>
    <t>MT</t>
  </si>
  <si>
    <t>OR</t>
  </si>
  <si>
    <t>UT</t>
  </si>
  <si>
    <t>WA</t>
  </si>
  <si>
    <t>WY</t>
  </si>
  <si>
    <t>rental proforma</t>
  </si>
  <si>
    <t>Present Value of Sponsor 1st Mortgage:</t>
  </si>
  <si>
    <t>Market Rate (Determined by the Bank):</t>
  </si>
  <si>
    <t>Sponsor Note/Mortgage Amount:</t>
  </si>
  <si>
    <t>Mortgage P&amp;I Payment:</t>
  </si>
  <si>
    <t>HOME Investment Partnerships (HOME):</t>
  </si>
  <si>
    <t>Community Development Block Grant (CDBG):</t>
  </si>
  <si>
    <t>Federal Housing Administration (FHA) insured:</t>
  </si>
  <si>
    <t>Low Income Housing Tax Credits (LIHTC):</t>
  </si>
  <si>
    <t>Tax-exempt Multifamily Housing Bonds:</t>
  </si>
  <si>
    <t>Member Permanent Loans:</t>
  </si>
  <si>
    <t>State Funds:</t>
  </si>
  <si>
    <t>Local Government Funds:</t>
  </si>
  <si>
    <t>Non-Gov't Donated Funds (charitable funds):</t>
  </si>
  <si>
    <t>Other Federal Housing Programs:</t>
  </si>
  <si>
    <t>Pick a Source</t>
  </si>
  <si>
    <t>Non-Gov't Donated Funds:</t>
  </si>
  <si>
    <t>Other Fed. Housing Programs:</t>
  </si>
  <si>
    <t>(3) Hard and Soft Debt</t>
  </si>
  <si>
    <t>(2) Cost Reasonableness Benchmarks</t>
  </si>
  <si>
    <t>(1) Sources and Uses of Funds</t>
  </si>
  <si>
    <t>(4) Operational Feasibility Benchmarks (Rental Projects Only)</t>
  </si>
  <si>
    <t>Commercial Uses</t>
  </si>
  <si>
    <t>Commercial Sources</t>
  </si>
  <si>
    <t>Funding Gap</t>
  </si>
  <si>
    <t>AHP Request</t>
  </si>
  <si>
    <r>
      <t>In the "</t>
    </r>
    <r>
      <rPr>
        <b/>
        <sz val="9"/>
        <color theme="1" tint="0.14999847407452621"/>
        <rFont val="Arial"/>
        <family val="2"/>
      </rPr>
      <t>Type</t>
    </r>
    <r>
      <rPr>
        <sz val="9"/>
        <color theme="1" tint="0.14999847407452621"/>
        <rFont val="Arial"/>
        <family val="2"/>
      </rPr>
      <t xml:space="preserve">" column select whether the source is a Construction Loan, Permanent Loan, Grant, Equity, Tax Credit, Donation or Tribal Funding.
Note: Select the original source type of the funds as they came into the project. For example the AHP, or other grants, may be lent to a project to include them in the basis of a project receiving LIHTCs, however, should be represented as grants not permanent loans on the sources statement. </t>
    </r>
  </si>
  <si>
    <r>
      <t xml:space="preserve">For owner-occupied projects, mortgages must be identified as a source and the amount must match the amount from the </t>
    </r>
    <r>
      <rPr>
        <i/>
        <sz val="9"/>
        <color theme="1" tint="0.14999847407452621"/>
        <rFont val="Arial"/>
        <family val="2"/>
      </rPr>
      <t>"Attachment D - Owner-Occupied Housing Expense"</t>
    </r>
    <r>
      <rPr>
        <sz val="9"/>
        <color theme="1" tint="0.14999847407452621"/>
        <rFont val="Arial"/>
        <family val="2"/>
      </rPr>
      <t xml:space="preserve"> worksheet.</t>
    </r>
  </si>
  <si>
    <t>Input the total number of units reserved for special needs households. The adjacent cell will calculate the percentage of total units in the project reserved for special needs.</t>
  </si>
  <si>
    <r>
      <t xml:space="preserve">In the, </t>
    </r>
    <r>
      <rPr>
        <b/>
        <sz val="9"/>
        <color theme="1" tint="0.14999847407452621"/>
        <rFont val="Arial"/>
        <family val="2"/>
      </rPr>
      <t>"Unit Rent"</t>
    </r>
    <r>
      <rPr>
        <sz val="9"/>
        <color theme="1" tint="0.14999847407452621"/>
        <rFont val="Arial"/>
        <family val="2"/>
      </rPr>
      <t xml:space="preserve"> column, input the gross rent received, or to be received, for each unit. </t>
    </r>
  </si>
  <si>
    <r>
      <t xml:space="preserve">The </t>
    </r>
    <r>
      <rPr>
        <b/>
        <sz val="9"/>
        <color theme="1" tint="0.14999847407452621"/>
        <rFont val="Arial"/>
        <family val="2"/>
      </rPr>
      <t>"Rent Subsidy"</t>
    </r>
    <r>
      <rPr>
        <sz val="9"/>
        <color theme="1" tint="0.14999847407452621"/>
        <rFont val="Arial"/>
        <family val="2"/>
      </rPr>
      <t xml:space="preserve"> column will automatically calculate.</t>
    </r>
  </si>
  <si>
    <r>
      <t xml:space="preserve">In the </t>
    </r>
    <r>
      <rPr>
        <b/>
        <sz val="9"/>
        <color theme="1" tint="0.14999847407452621"/>
        <rFont val="Arial"/>
        <family val="2"/>
      </rPr>
      <t>"Type of Subsidy"</t>
    </r>
    <r>
      <rPr>
        <sz val="9"/>
        <color theme="1" tint="0.14999847407452621"/>
        <rFont val="Arial"/>
        <family val="2"/>
      </rPr>
      <t xml:space="preserve"> column, select the type of subsidy being received. This is required if the </t>
    </r>
    <r>
      <rPr>
        <b/>
        <sz val="9"/>
        <color theme="1" tint="0.14999847407452621"/>
        <rFont val="Arial"/>
        <family val="2"/>
      </rPr>
      <t>"Rent Subsidy"</t>
    </r>
    <r>
      <rPr>
        <sz val="9"/>
        <color theme="1" tint="0.14999847407452621"/>
        <rFont val="Arial"/>
        <family val="2"/>
      </rPr>
      <t xml:space="preserve"> column is greater than $0.  If the </t>
    </r>
    <r>
      <rPr>
        <b/>
        <sz val="9"/>
        <color theme="1" tint="0.14999847407452621"/>
        <rFont val="Arial"/>
        <family val="2"/>
      </rPr>
      <t>"Rent Subsidy"</t>
    </r>
    <r>
      <rPr>
        <sz val="9"/>
        <color theme="1" tint="0.14999847407452621"/>
        <rFont val="Arial"/>
        <family val="2"/>
      </rPr>
      <t xml:space="preserve"> column is $0, the </t>
    </r>
    <r>
      <rPr>
        <b/>
        <sz val="9"/>
        <color theme="1" tint="0.14999847407452621"/>
        <rFont val="Arial"/>
        <family val="2"/>
      </rPr>
      <t>"Type of Subsidy"</t>
    </r>
    <r>
      <rPr>
        <sz val="9"/>
        <color theme="1" tint="0.14999847407452621"/>
        <rFont val="Arial"/>
        <family val="2"/>
      </rPr>
      <t xml:space="preserve"> dropdown will not be available.</t>
    </r>
  </si>
  <si>
    <r>
      <t xml:space="preserve">In the </t>
    </r>
    <r>
      <rPr>
        <b/>
        <sz val="9"/>
        <color theme="1" tint="0.14999847407452621"/>
        <rFont val="Arial"/>
        <family val="2"/>
      </rPr>
      <t>"Homeless"</t>
    </r>
    <r>
      <rPr>
        <sz val="9"/>
        <color theme="1" tint="0.14999847407452621"/>
        <rFont val="Arial"/>
        <family val="2"/>
      </rPr>
      <t xml:space="preserve"> column, indicate whether or not the current tenant meets the definition of homeless by selecting "Yes" or "No" from the dropdown.</t>
    </r>
  </si>
  <si>
    <r>
      <t xml:space="preserve">In the </t>
    </r>
    <r>
      <rPr>
        <b/>
        <sz val="9"/>
        <color theme="1" tint="0.14999847407452621"/>
        <rFont val="Arial"/>
        <family val="2"/>
      </rPr>
      <t>"Elderly"</t>
    </r>
    <r>
      <rPr>
        <sz val="9"/>
        <color theme="1" tint="0.14999847407452621"/>
        <rFont val="Arial"/>
        <family val="2"/>
      </rPr>
      <t xml:space="preserve"> column, indicate whether or not the current tenant is an elderly household by selecting "Yes" or "No" from the dropdown.</t>
    </r>
  </si>
  <si>
    <r>
      <t xml:space="preserve">Are all commercial source indicated on the Sources Statement?
The list to the right shows all commercial sources as currently reported on the Sources Statement. If they are incorrect please update the Sources Statement.
</t>
    </r>
    <r>
      <rPr>
        <i/>
        <sz val="9"/>
        <color theme="1" tint="0.249977111117893"/>
        <rFont val="Arial"/>
        <family val="2"/>
      </rPr>
      <t>Note: If project does not include commercial space, no sources should be listed to the right.</t>
    </r>
  </si>
  <si>
    <t>AK</t>
  </si>
  <si>
    <t>HI</t>
  </si>
  <si>
    <t>State Fund</t>
  </si>
  <si>
    <t>Local Government Fund</t>
  </si>
  <si>
    <t>Non-Gov't Donated Fund</t>
  </si>
  <si>
    <t>Other Fed. Housing Program</t>
  </si>
  <si>
    <r>
      <t xml:space="preserve">If </t>
    </r>
    <r>
      <rPr>
        <b/>
        <sz val="9"/>
        <color theme="1" tint="0.14999847407452621"/>
        <rFont val="Arial"/>
        <family val="2"/>
      </rPr>
      <t xml:space="preserve">operating reserves </t>
    </r>
    <r>
      <rPr>
        <sz val="9"/>
        <color theme="1" tint="0.14999847407452621"/>
        <rFont val="Arial"/>
        <family val="2"/>
      </rPr>
      <t>are capitalized on the Uses Statement the project may not also include them on the Rental ProForma.</t>
    </r>
  </si>
  <si>
    <r>
      <t xml:space="preserve">Year 1 rental income will automatically carry over from the amount calculated on the </t>
    </r>
    <r>
      <rPr>
        <b/>
        <sz val="9"/>
        <color theme="1" tint="0.14999847407452621"/>
        <rFont val="Arial"/>
        <family val="2"/>
      </rPr>
      <t>Rent Schedule</t>
    </r>
    <r>
      <rPr>
        <sz val="9"/>
        <color theme="1" tint="0.14999847407452621"/>
        <rFont val="Arial"/>
        <family val="2"/>
      </rPr>
      <t xml:space="preserve">.
Input the rental income for years 2 through 15 for the housing portion of the rental project only. </t>
    </r>
  </si>
  <si>
    <r>
      <rPr>
        <b/>
        <sz val="9"/>
        <color theme="1" tint="0.14999847407452621"/>
        <rFont val="Arial"/>
        <family val="2"/>
      </rPr>
      <t>Deferred</t>
    </r>
    <r>
      <rPr>
        <sz val="9"/>
        <color theme="1" tint="0.14999847407452621"/>
        <rFont val="Arial"/>
        <family val="2"/>
      </rPr>
      <t>: A loan that has interest installments and/or principal that is postponed for a specific amount of time.</t>
    </r>
  </si>
  <si>
    <t>Validation Warnings Summary</t>
  </si>
  <si>
    <r>
      <t>For conventional permanent loans, the "</t>
    </r>
    <r>
      <rPr>
        <b/>
        <sz val="9"/>
        <color theme="1" tint="0.14999847407452621"/>
        <rFont val="Arial"/>
        <family val="2"/>
      </rPr>
      <t>Annual Debt Service (conventional)</t>
    </r>
    <r>
      <rPr>
        <sz val="9"/>
        <color theme="1" tint="0.14999847407452621"/>
        <rFont val="Arial"/>
        <family val="2"/>
      </rPr>
      <t xml:space="preserve">" column will calculate using the information input into the "Amount" column, "Interest Rate" column, and "Amortization" column.
Note: The amount calculated will carry over to the </t>
    </r>
    <r>
      <rPr>
        <b/>
        <i/>
        <sz val="9"/>
        <color theme="1" tint="0.14999847407452621"/>
        <rFont val="Arial"/>
        <family val="2"/>
      </rPr>
      <t>Rental Operating ProForma</t>
    </r>
    <r>
      <rPr>
        <sz val="9"/>
        <color theme="1" tint="0.14999847407452621"/>
        <rFont val="Arial"/>
        <family val="2"/>
      </rPr>
      <t xml:space="preserve">in the debt service table for conventional permanent loans and to the </t>
    </r>
    <r>
      <rPr>
        <b/>
        <i/>
        <sz val="9"/>
        <color theme="1" tint="0.14999847407452621"/>
        <rFont val="Arial"/>
        <family val="2"/>
      </rPr>
      <t>Feasibility Analysis</t>
    </r>
    <r>
      <rPr>
        <sz val="9"/>
        <color theme="1" tint="0.14999847407452621"/>
        <rFont val="Arial"/>
        <family val="2"/>
      </rPr>
      <t xml:space="preserve"> in the "Hard and Soft Debt" section.
For projects with debt allocated to the commercial costs of the project the percentage allocated to commercial will be allocated to the </t>
    </r>
    <r>
      <rPr>
        <b/>
        <i/>
        <sz val="9"/>
        <color theme="1" tint="0.14999847407452621"/>
        <rFont val="Arial"/>
        <family val="2"/>
      </rPr>
      <t>Commercial Proforma</t>
    </r>
    <r>
      <rPr>
        <sz val="9"/>
        <color theme="1" tint="0.14999847407452621"/>
        <rFont val="Arial"/>
        <family val="2"/>
      </rPr>
      <t xml:space="preserve"> and the remainder will be allocated to the Rental Operating Proforma.</t>
    </r>
  </si>
  <si>
    <r>
      <t>For non-conventional permanent loans, the "</t>
    </r>
    <r>
      <rPr>
        <b/>
        <sz val="9"/>
        <color theme="1" tint="0.14999847407452621"/>
        <rFont val="Arial"/>
        <family val="2"/>
      </rPr>
      <t>Annual Debt Service (other)</t>
    </r>
    <r>
      <rPr>
        <sz val="9"/>
        <color theme="1" tint="0.14999847407452621"/>
        <rFont val="Arial"/>
        <family val="2"/>
      </rPr>
      <t xml:space="preserve">" column is used to manually input the total annual debt service (if any) for the loan. This amount will carry over to the </t>
    </r>
    <r>
      <rPr>
        <b/>
        <i/>
        <sz val="9"/>
        <color theme="1" tint="0.14999847407452621"/>
        <rFont val="Arial"/>
        <family val="2"/>
      </rPr>
      <t>Feasibility Analysis</t>
    </r>
    <r>
      <rPr>
        <sz val="9"/>
        <color theme="1" tint="0.14999847407452621"/>
        <rFont val="Arial"/>
        <family val="2"/>
      </rPr>
      <t xml:space="preserve">, however, will not automatically carry over to the </t>
    </r>
    <r>
      <rPr>
        <b/>
        <i/>
        <sz val="9"/>
        <color theme="1" tint="0.14999847407452621"/>
        <rFont val="Arial"/>
        <family val="2"/>
      </rPr>
      <t>ProForma</t>
    </r>
    <r>
      <rPr>
        <sz val="9"/>
        <color theme="1" tint="0.14999847407452621"/>
        <rFont val="Arial"/>
        <family val="2"/>
      </rPr>
      <t xml:space="preserve"> or allocate for commercial portions. These amounts, if applicable, will have to be calculated and manually input.</t>
    </r>
  </si>
  <si>
    <t xml:space="preserve">Ensure that the amount of construction costs listed in the Uses Statement matches the amount listed on the construction contract. </t>
  </si>
  <si>
    <t xml:space="preserve">Ensure that the amount of rehabilitaiton costs listed in the Uses Statement matches the amount listed on the construction contract. </t>
  </si>
  <si>
    <t>Cash Flow Loans</t>
  </si>
  <si>
    <r>
      <t xml:space="preserve">The source name will automatically carry over from the </t>
    </r>
    <r>
      <rPr>
        <b/>
        <sz val="9"/>
        <color theme="1" tint="0.14999847407452621"/>
        <rFont val="Arial"/>
        <family val="2"/>
      </rPr>
      <t>Sources Statement</t>
    </r>
    <r>
      <rPr>
        <sz val="9"/>
        <color theme="1" tint="0.14999847407452621"/>
        <rFont val="Arial"/>
        <family val="2"/>
      </rPr>
      <t xml:space="preserve"> where the source type is permanent loan , and the type of repayment is "Other" and all or a portion of the source is for rental housing. The debt service for each funding source listed needs to be manually input for years 1 through 15 on the </t>
    </r>
    <r>
      <rPr>
        <b/>
        <sz val="9"/>
        <color theme="1" tint="0.14999847407452621"/>
        <rFont val="Arial"/>
        <family val="2"/>
      </rPr>
      <t>Rental Operating ProForma</t>
    </r>
    <r>
      <rPr>
        <sz val="9"/>
        <color theme="1" tint="0.14999847407452621"/>
        <rFont val="Arial"/>
        <family val="2"/>
      </rPr>
      <t xml:space="preserve">. If debt service is not paid in a certain year(s), input a $0.
Note: Only the portion of debt service that is for rental housing should be entered into the </t>
    </r>
    <r>
      <rPr>
        <b/>
        <sz val="9"/>
        <color theme="1" tint="0.14999847407452621"/>
        <rFont val="Arial"/>
        <family val="2"/>
      </rPr>
      <t>Rental Operating ProForma</t>
    </r>
    <r>
      <rPr>
        <sz val="9"/>
        <color theme="1" tint="0.14999847407452621"/>
        <rFont val="Arial"/>
        <family val="2"/>
      </rPr>
      <t xml:space="preserve">. If there is an allocation to commercial costs this amount will be input on the </t>
    </r>
    <r>
      <rPr>
        <b/>
        <i/>
        <sz val="9"/>
        <color theme="1" tint="0.14999847407452621"/>
        <rFont val="Arial"/>
        <family val="2"/>
      </rPr>
      <t>Commercial ProForma</t>
    </r>
    <r>
      <rPr>
        <sz val="9"/>
        <color theme="1" tint="0.14999847407452621"/>
        <rFont val="Arial"/>
        <family val="2"/>
      </rPr>
      <t>.</t>
    </r>
  </si>
  <si>
    <r>
      <t xml:space="preserve">The source name will automatically carry over from the </t>
    </r>
    <r>
      <rPr>
        <b/>
        <sz val="9"/>
        <color theme="1" tint="0.14999847407452621"/>
        <rFont val="Arial"/>
        <family val="2"/>
      </rPr>
      <t>Sources Statement</t>
    </r>
    <r>
      <rPr>
        <sz val="9"/>
        <color theme="1" tint="0.14999847407452621"/>
        <rFont val="Arial"/>
        <family val="2"/>
      </rPr>
      <t xml:space="preserve"> where the source type is permanent loan, and the type of repayment is "Cash Flow" and all or a portion of the source is for rental housing. The debt service for each funding source listed needs to be manually input for years 1 through 15 on the </t>
    </r>
    <r>
      <rPr>
        <b/>
        <sz val="9"/>
        <color theme="1" tint="0.14999847407452621"/>
        <rFont val="Arial"/>
        <family val="2"/>
      </rPr>
      <t>Rental Operating ProForma</t>
    </r>
    <r>
      <rPr>
        <sz val="9"/>
        <color theme="1" tint="0.14999847407452621"/>
        <rFont val="Arial"/>
        <family val="2"/>
      </rPr>
      <t xml:space="preserve">. If debt service is not paid in a certain year(s), input a $0.
Note: Only the portion of debt service that is for rental housing should be entered into the </t>
    </r>
    <r>
      <rPr>
        <b/>
        <sz val="9"/>
        <color theme="1" tint="0.14999847407452621"/>
        <rFont val="Arial"/>
        <family val="2"/>
      </rPr>
      <t>Rental Operating ProForma</t>
    </r>
    <r>
      <rPr>
        <sz val="9"/>
        <color theme="1" tint="0.14999847407452621"/>
        <rFont val="Arial"/>
        <family val="2"/>
      </rPr>
      <t>. If there is an allocation to commercial costs this amount will be input on the Commercial ProForma.</t>
    </r>
  </si>
  <si>
    <t>Select the project state from the dropdown, next select the project county to populate the applicable HUD Income Limits Table, or</t>
  </si>
  <si>
    <r>
      <t xml:space="preserve">For projects using NAHASDA income limits, select 'NAHASDA' in the  </t>
    </r>
    <r>
      <rPr>
        <b/>
        <sz val="9"/>
        <color theme="1" tint="0.14999847407452621"/>
        <rFont val="Arial"/>
        <family val="2"/>
      </rPr>
      <t>"Project State"</t>
    </r>
    <r>
      <rPr>
        <sz val="9"/>
        <color theme="1" tint="0.14999847407452621"/>
        <rFont val="Arial"/>
        <family val="2"/>
      </rPr>
      <t xml:space="preserve"> dropdown and the NAHASDA limits will populate, or</t>
    </r>
  </si>
  <si>
    <r>
      <t xml:space="preserve">In the, </t>
    </r>
    <r>
      <rPr>
        <b/>
        <sz val="9"/>
        <color theme="1" tint="0.14999847407452621"/>
        <rFont val="Arial"/>
        <family val="2"/>
      </rPr>
      <t>"Total Unit Rent Received"</t>
    </r>
    <r>
      <rPr>
        <sz val="9"/>
        <color theme="1" tint="0.14999847407452621"/>
        <rFont val="Arial"/>
        <family val="2"/>
      </rPr>
      <t xml:space="preserve"> column, input the gross rent received, or to be received, for each unit. </t>
    </r>
  </si>
  <si>
    <r>
      <t xml:space="preserve">In the </t>
    </r>
    <r>
      <rPr>
        <b/>
        <sz val="9"/>
        <color theme="1" tint="0.14999847407452621"/>
        <rFont val="Arial"/>
        <family val="2"/>
      </rPr>
      <t>"Tenant Paid Rent"</t>
    </r>
    <r>
      <rPr>
        <sz val="9"/>
        <color theme="1" tint="0.14999847407452621"/>
        <rFont val="Arial"/>
        <family val="2"/>
      </rPr>
      <t xml:space="preserve"> column, input the rent that is paid, or will be paid, by the tenant. For example, if the total rent received is $500, and the tenant received $100 in rent subsidy, the tenant paid rent would be $400.</t>
    </r>
  </si>
  <si>
    <t>Input the first and last name of the head of the household. If more than one household member, input the name of the head household member. If the unit is vacant type vacant.</t>
  </si>
  <si>
    <r>
      <t xml:space="preserve">List all sources of funds, proposed, requested and approved. 
In the </t>
    </r>
    <r>
      <rPr>
        <b/>
        <sz val="9"/>
        <color theme="1" tint="0.14999847407452621"/>
        <rFont val="Arial"/>
        <family val="2"/>
      </rPr>
      <t>"Construction Financing"</t>
    </r>
    <r>
      <rPr>
        <sz val="9"/>
        <color theme="1" tint="0.14999847407452621"/>
        <rFont val="Arial"/>
        <family val="2"/>
      </rPr>
      <t xml:space="preserve"> section list only interim sources to the project. Interim sources should include sources that will be taken out, or repaid, by permanent sources. If a source is an interim source that converts to permanent financing it is appropriate to list it in both places. Construction financing will most likely not be equal to the total development costs of the project. 
In the </t>
    </r>
    <r>
      <rPr>
        <b/>
        <sz val="9"/>
        <color theme="1" tint="0.14999847407452621"/>
        <rFont val="Arial"/>
        <family val="2"/>
      </rPr>
      <t>"Permanent Financing"</t>
    </r>
    <r>
      <rPr>
        <sz val="9"/>
        <color theme="1" tint="0.14999847407452621"/>
        <rFont val="Arial"/>
        <family val="2"/>
      </rPr>
      <t xml:space="preserve"> section list all sources such as equity; loans; grants; donations; homebuyer mortgages; homebuyer downpayments; sponsor contributions. Include FHLB funding in total development costs. This section must equal the Uses Statement total project development costs.
</t>
    </r>
  </si>
  <si>
    <r>
      <t xml:space="preserve">The source name and the annual debt service will automatically carry over from the </t>
    </r>
    <r>
      <rPr>
        <b/>
        <sz val="9"/>
        <color theme="1" tint="0.14999847407452621"/>
        <rFont val="Arial"/>
        <family val="2"/>
      </rPr>
      <t>Sources Statement</t>
    </r>
    <r>
      <rPr>
        <sz val="9"/>
        <color theme="1" tint="0.14999847407452621"/>
        <rFont val="Arial"/>
        <family val="2"/>
      </rPr>
      <t xml:space="preserve"> where the source type is permanent loan, and the type of repayment is "Conventional", and all or a portion of the source is for the commercial space. Only the portion of debt service that is for the commercial space will populate. For example, if the </t>
    </r>
    <r>
      <rPr>
        <b/>
        <sz val="9"/>
        <color theme="1" tint="0.14999847407452621"/>
        <rFont val="Arial"/>
        <family val="2"/>
      </rPr>
      <t>Uses Statement</t>
    </r>
    <r>
      <rPr>
        <sz val="9"/>
        <color theme="1" tint="0.14999847407452621"/>
        <rFont val="Arial"/>
        <family val="2"/>
      </rPr>
      <t xml:space="preserve"> indicates that 25 percent of the funds are allocated to commercial, and the annual debt service is $20,000, then $5,000 will carry over to the </t>
    </r>
    <r>
      <rPr>
        <b/>
        <sz val="9"/>
        <color theme="1" tint="0.14999847407452621"/>
        <rFont val="Arial"/>
        <family val="2"/>
      </rPr>
      <t>Commercial ProForma</t>
    </r>
    <r>
      <rPr>
        <sz val="9"/>
        <color theme="1" tint="0.14999847407452621"/>
        <rFont val="Arial"/>
        <family val="2"/>
      </rPr>
      <t xml:space="preserve">, and $15,000 will carry over to the </t>
    </r>
    <r>
      <rPr>
        <b/>
        <sz val="9"/>
        <color theme="1" tint="0.14999847407452621"/>
        <rFont val="Arial"/>
        <family val="2"/>
      </rPr>
      <t>Rental Operating ProForma</t>
    </r>
    <r>
      <rPr>
        <sz val="9"/>
        <color theme="1" tint="0.14999847407452621"/>
        <rFont val="Arial"/>
        <family val="2"/>
      </rPr>
      <t>.</t>
    </r>
  </si>
  <si>
    <t>For each source type listed, select one specific source that meets the source type description.
A project may have multiple specific sources that meet the source type, however, we only require that one is selected.</t>
  </si>
  <si>
    <t>N/A</t>
  </si>
  <si>
    <t>15 Year Commercial Operating ProForma</t>
  </si>
  <si>
    <t>Updated March 9, 2015</t>
  </si>
  <si>
    <t xml:space="preserve">AHP Rental Disbursement Workbook </t>
  </si>
  <si>
    <t>Part 1 - Sources of Funds Statement</t>
  </si>
  <si>
    <t>CATEGORY</t>
  </si>
  <si>
    <t>PREVIOUS SUBMISSION</t>
  </si>
  <si>
    <t>UPDATED STATEMENT</t>
  </si>
  <si>
    <t>DIFFERENCE</t>
  </si>
  <si>
    <t>CHANGE</t>
  </si>
  <si>
    <t>Part 2 - Use of Project Funding Statement</t>
  </si>
  <si>
    <t>Sources and Uses Analysis</t>
  </si>
  <si>
    <t>Sources &amp; Uses Analysis</t>
  </si>
  <si>
    <t>Sources &amp; Uses
Analysis</t>
  </si>
  <si>
    <t xml:space="preserve">Input Sources and Uses from the previously submitted workbook. </t>
  </si>
  <si>
    <r>
      <t xml:space="preserve">Annual
Debt
Service
</t>
    </r>
    <r>
      <rPr>
        <sz val="9"/>
        <color theme="0"/>
        <rFont val="Arial"/>
        <family val="2"/>
      </rPr>
      <t>(Conventional</t>
    </r>
    <r>
      <rPr>
        <b/>
        <sz val="9"/>
        <color theme="0"/>
        <rFont val="Arial"/>
        <family val="2"/>
      </rPr>
      <t>)</t>
    </r>
  </si>
  <si>
    <r>
      <t xml:space="preserve">Amortization
Period
</t>
    </r>
    <r>
      <rPr>
        <sz val="9"/>
        <color theme="0"/>
        <rFont val="Arial"/>
        <family val="2"/>
      </rPr>
      <t>(months)</t>
    </r>
  </si>
  <si>
    <r>
      <t xml:space="preserve">Annual
Debt
Service
</t>
    </r>
    <r>
      <rPr>
        <sz val="9"/>
        <color theme="0"/>
        <rFont val="Arial"/>
        <family val="2"/>
      </rPr>
      <t>(Cash Flow/Other)</t>
    </r>
  </si>
  <si>
    <t>Vacant</t>
  </si>
  <si>
    <t>Income at Move In</t>
  </si>
  <si>
    <t>Move In Date</t>
  </si>
  <si>
    <t>Income
to AMI</t>
  </si>
  <si>
    <t>Current
Income</t>
  </si>
  <si>
    <t>not listed, state and county input</t>
  </si>
  <si>
    <t>Note: The Rent Schedule should be completed prior to filling out the TIV. The number of rows in the TIV below are generated based on the number of units indicated on the Rent Schedule.</t>
  </si>
  <si>
    <t>state and county selected</t>
  </si>
  <si>
    <t>Number of Units Indicated on the TIV:</t>
  </si>
  <si>
    <t>Not State Selected and county selected</t>
  </si>
  <si>
    <t>Number of Units Indicated on the Rent Schedule:</t>
  </si>
  <si>
    <t>Not listed, not state or county input</t>
  </si>
  <si>
    <t>vacant units</t>
  </si>
  <si>
    <t>County Override</t>
  </si>
  <si>
    <t>State Override</t>
  </si>
  <si>
    <t>County</t>
  </si>
  <si>
    <t>State</t>
  </si>
  <si>
    <t>10 Person AMI</t>
  </si>
  <si>
    <t>9 person AMI</t>
  </si>
  <si>
    <t>Tenant Income Verification (TIV) Worksheet</t>
  </si>
  <si>
    <t>PowerBuilder Verified by Manager</t>
  </si>
  <si>
    <t>PowerBuilder Updated</t>
  </si>
  <si>
    <t>Approved Date:</t>
  </si>
  <si>
    <t>Approved By:</t>
  </si>
  <si>
    <t>TIV Approval</t>
  </si>
  <si>
    <t>TIV Reviewed By:</t>
  </si>
  <si>
    <t>TIV Reviewed Date:</t>
  </si>
  <si>
    <t>TIV Review</t>
  </si>
  <si>
    <t>Choose from dropdown…</t>
  </si>
  <si>
    <r>
      <rPr>
        <b/>
        <sz val="9"/>
        <rFont val="Arial"/>
        <family val="2"/>
      </rPr>
      <t>7)</t>
    </r>
    <r>
      <rPr>
        <sz val="9"/>
        <rFont val="Arial"/>
        <family val="2"/>
      </rPr>
      <t xml:space="preserve"> District Priority 2:</t>
    </r>
  </si>
  <si>
    <t>Date TIV in Reviewable Condition Received:</t>
  </si>
  <si>
    <t>TIV Requested Date:</t>
  </si>
  <si>
    <r>
      <rPr>
        <b/>
        <sz val="9"/>
        <rFont val="Arial"/>
        <family val="2"/>
      </rPr>
      <t>6)</t>
    </r>
    <r>
      <rPr>
        <sz val="9"/>
        <rFont val="Arial"/>
        <family val="2"/>
      </rPr>
      <t xml:space="preserve"> District Priority 1:</t>
    </r>
  </si>
  <si>
    <t>TIV Request</t>
  </si>
  <si>
    <r>
      <rPr>
        <b/>
        <sz val="9"/>
        <rFont val="Arial"/>
        <family val="2"/>
      </rPr>
      <t>5)</t>
    </r>
    <r>
      <rPr>
        <sz val="9"/>
        <rFont val="Arial"/>
        <family val="2"/>
      </rPr>
      <t xml:space="preserve"> Homeless Set Aside:</t>
    </r>
  </si>
  <si>
    <t>Compliance</t>
  </si>
  <si>
    <t>Current</t>
  </si>
  <si>
    <t>Application</t>
  </si>
  <si>
    <t>Totals</t>
  </si>
  <si>
    <t>Manager</t>
  </si>
  <si>
    <t>Explain:</t>
  </si>
  <si>
    <t>Select…</t>
  </si>
  <si>
    <r>
      <rPr>
        <b/>
        <sz val="9"/>
        <rFont val="Arial"/>
        <family val="2"/>
      </rPr>
      <t>4)</t>
    </r>
    <r>
      <rPr>
        <sz val="9"/>
        <rFont val="Arial"/>
        <family val="2"/>
      </rPr>
      <t xml:space="preserve"> Lease provided for sample households.</t>
    </r>
  </si>
  <si>
    <r>
      <rPr>
        <b/>
        <sz val="9"/>
        <rFont val="Arial"/>
        <family val="2"/>
      </rPr>
      <t>3)</t>
    </r>
    <r>
      <rPr>
        <sz val="9"/>
        <rFont val="Arial"/>
        <family val="2"/>
      </rPr>
      <t xml:space="preserve"> Affordability: All units should be affordable for the targeted income levels.</t>
    </r>
  </si>
  <si>
    <t>Verified</t>
  </si>
  <si>
    <t>Actual</t>
  </si>
  <si>
    <t>% AMI</t>
  </si>
  <si>
    <r>
      <rPr>
        <b/>
        <sz val="9"/>
        <rFont val="Arial"/>
        <family val="2"/>
      </rPr>
      <t>2)</t>
    </r>
    <r>
      <rPr>
        <sz val="9"/>
        <rFont val="Arial"/>
        <family val="2"/>
      </rPr>
      <t xml:space="preserve"> Units Targeted:</t>
    </r>
  </si>
  <si>
    <r>
      <rPr>
        <b/>
        <sz val="9"/>
        <rFont val="Arial"/>
        <family val="2"/>
      </rPr>
      <t>1)</t>
    </r>
    <r>
      <rPr>
        <sz val="9"/>
        <rFont val="Arial"/>
        <family val="2"/>
      </rPr>
      <t xml:space="preserve"> Percent of the units are occupied by and affordable  for VLI households. </t>
    </r>
  </si>
  <si>
    <t>For FHLB Use Only:</t>
  </si>
  <si>
    <t>Income as % of AMI</t>
  </si>
  <si>
    <t>Area Med Income</t>
  </si>
  <si>
    <t>Rent /
Income</t>
  </si>
  <si>
    <t>Affordable
at</t>
  </si>
  <si>
    <t>Affordable Rent at</t>
  </si>
  <si>
    <t>Net Rent</t>
  </si>
  <si>
    <t>Gross
Rent</t>
  </si>
  <si>
    <t># of Bedrooms</t>
  </si>
  <si>
    <t>Tenant Name</t>
  </si>
  <si>
    <t>NA</t>
  </si>
  <si>
    <t>Email:</t>
  </si>
  <si>
    <t>Phone:</t>
  </si>
  <si>
    <t>Name of Individual Completing the Form:</t>
  </si>
  <si>
    <t>As of Date:</t>
  </si>
  <si>
    <t>AHP#:</t>
  </si>
  <si>
    <t xml:space="preserve">Project's Name: </t>
  </si>
  <si>
    <t>Not in compliance with application.</t>
  </si>
  <si>
    <t xml:space="preserve">    Annual Tenant Income Verification Worksheet</t>
  </si>
  <si>
    <t>In compliance with application.</t>
  </si>
  <si>
    <t>If the project is located in Alaska or Hawaii, manually enter the 4-person 80% (low-income) limit from the HUD table.</t>
  </si>
  <si>
    <t>&lt;80% AMI</t>
  </si>
  <si>
    <t>&lt;70% AMI</t>
  </si>
  <si>
    <t>&lt;60% AMI</t>
  </si>
  <si>
    <t>&lt;50% AMI</t>
  </si>
  <si>
    <t>Not in compliance with the regulation.</t>
  </si>
  <si>
    <t>&lt;30% AMI</t>
  </si>
  <si>
    <t>In compliance with the regulation.</t>
  </si>
  <si>
    <t>Anchor/Base</t>
  </si>
  <si>
    <t>Median Income</t>
  </si>
  <si>
    <t>8 person</t>
  </si>
  <si>
    <t>7 person</t>
  </si>
  <si>
    <t>6 person</t>
  </si>
  <si>
    <t>5 person</t>
  </si>
  <si>
    <t>4 person</t>
  </si>
  <si>
    <t>3 person</t>
  </si>
  <si>
    <t>2 person</t>
  </si>
  <si>
    <t>1 person</t>
  </si>
  <si>
    <t>HUD Area Median Income</t>
  </si>
  <si>
    <t xml:space="preserve">County / MSA Name: </t>
  </si>
  <si>
    <t>The TIV contains 200 rows. Any unused rows should be deleted from the TIV.</t>
  </si>
  <si>
    <t>The Validation Warnings Summary page checks for discrepancies and other issues throughout the workbook. All validations listed on the Validation Warnings Summary page must be addressed before submitting the online application and AHP Excel Workbook to the Des Moines Bank.</t>
  </si>
  <si>
    <t>For projects located in a state that is outside of the Des Moines Bank's district, select 'Not Listed' in the "Project State" dropdown, next manually input the project state, county, and 50% HUD Area Median Income (AMI). The HUD Income Limits Table will populate based on the 50% HUD AMI.</t>
  </si>
  <si>
    <t xml:space="preserve">At the time of application the current income of households will be used to support the targeting commitments of the application.  Within 90 days of acquisition, new household income certifcations, compliant with the Des Moines Bank's Sponsor Income Qualification Guide must be completed and a new TIV submitted  confirming the targeting committments of the AHP application.  For projects that include only the rehabilitation of a project already owned by a sponsor, this certification should be completed within 90 days of the AHP award date. </t>
  </si>
  <si>
    <t>Select the family size (1-10) from the dropdown. If the unit is not occupied, select vacant from the household size dropdown. If the household size exceeds 10, contact the Des Moines Bank for instructions.</t>
  </si>
  <si>
    <t>Note: Percent of funds approved is subject to Des Moines Bank validation</t>
  </si>
  <si>
    <r>
      <t xml:space="preserve">Hard Debt Service </t>
    </r>
    <r>
      <rPr>
        <sz val="11"/>
        <color rgb="FF046937"/>
        <rFont val="Times New Roman"/>
        <family val="1"/>
      </rPr>
      <t>(As named in Sources)</t>
    </r>
  </si>
  <si>
    <t>All variances of 5% or more of the project’s former total development costs (at the time of application, disbursement or modification, as applicable) between this current workbook and the previously submitted workbook will need to be explained.</t>
  </si>
  <si>
    <t xml:space="preserve">Change Threshold for Explanation (5% of previous TDC) = </t>
  </si>
  <si>
    <t>Alaska:
$5,500/unit/year
All Other States:
$2,500/unit/year</t>
  </si>
  <si>
    <t>Alaska:
$8,000/unit/year
All Other States:
$5,000/unit/year</t>
  </si>
  <si>
    <t>DOCUMENTATION</t>
  </si>
  <si>
    <t>Tracking Number</t>
  </si>
  <si>
    <t>UDA Name</t>
  </si>
  <si>
    <t>2015 Rental Disbursement Workbook_Final</t>
  </si>
  <si>
    <t>ADO</t>
  </si>
  <si>
    <t>Craig Horton</t>
  </si>
  <si>
    <t>Responsible Personnel</t>
  </si>
  <si>
    <t>DeAnna Poling</t>
  </si>
  <si>
    <t>Location</t>
  </si>
  <si>
    <t>I:\FHLBUDA\Community Investment\I DRIVE FHLBUDA\UDAs\Production</t>
  </si>
  <si>
    <t>Frequency of Use</t>
  </si>
  <si>
    <t>Transaction</t>
  </si>
  <si>
    <t xml:space="preserve">Purpose </t>
  </si>
  <si>
    <t>External facing form that is filled out by the project sponsor and sent to FHLB for analysis as part of the AHP disbursement process for Seattle Legacy AHP rental projects.</t>
  </si>
  <si>
    <t xml:space="preserve">Inputs </t>
  </si>
  <si>
    <t>Manual Inputs by sponsor.</t>
  </si>
  <si>
    <t xml:space="preserve">Outputs  </t>
  </si>
  <si>
    <t>AHP Disbursement Workbook</t>
  </si>
  <si>
    <t>Processing</t>
  </si>
  <si>
    <t xml:space="preserve">   -  Logic</t>
  </si>
  <si>
    <t>This workbook is needed in order to get information about a project from the sponsor as part of the Seattle Legacy disbursement process. The form is downloaded from the FHLB Des Moines public website.</t>
  </si>
  <si>
    <t xml:space="preserve">   - Calculations</t>
  </si>
  <si>
    <t>The workbook has a large number of formulas. Most formulas are summations, differences, and if statements. To view all formulas, unprotect the workbook and select "View Formulas" from the Excel Formulas tab.</t>
  </si>
  <si>
    <t xml:space="preserve">   - Macros</t>
  </si>
  <si>
    <t xml:space="preserve">   - Manual Entries</t>
  </si>
  <si>
    <t>All manual entries are input by the sponsor.</t>
  </si>
  <si>
    <t xml:space="preserve">   - Inactive</t>
  </si>
  <si>
    <t>UDA Limitations</t>
  </si>
  <si>
    <t>There is no other method for collecting information from sponsors for Seattle Legacy projects.</t>
  </si>
  <si>
    <t>Location of Procedures</t>
  </si>
  <si>
    <t>H:\Community Investment\Western Office\Policies\Current Procedures\2013 Procedures\CRS</t>
  </si>
  <si>
    <t>UDA Name:</t>
  </si>
  <si>
    <t>Tracking Number:</t>
  </si>
  <si>
    <t>Change 
ID
Number</t>
  </si>
  <si>
    <t>Change 
Date</t>
  </si>
  <si>
    <t>Change Category/Type</t>
  </si>
  <si>
    <t>UDA Change Log
Description</t>
  </si>
  <si>
    <t>Change Participants
(each participant must be a different employee)</t>
  </si>
  <si>
    <t>Change
Approval Date</t>
  </si>
  <si>
    <t xml:space="preserve">Supporting Documentation
</t>
  </si>
  <si>
    <t>Problem</t>
  </si>
  <si>
    <t>Enhancement</t>
  </si>
  <si>
    <t>Update</t>
  </si>
  <si>
    <t>Developer/User</t>
  </si>
  <si>
    <t>Tester</t>
  </si>
  <si>
    <t>Approver</t>
  </si>
  <si>
    <t>X</t>
  </si>
  <si>
    <t xml:space="preserve">Updated the RSMeans data with Q4 2016 figures </t>
  </si>
  <si>
    <t>Thuy Gruner</t>
  </si>
  <si>
    <t>Tony Montgomery</t>
  </si>
  <si>
    <t>I:\FHLBUDA\Community Investment\I DRIVE FHLBUDA\UDAs\Production\25019_Rental Disbursement Workbook</t>
  </si>
  <si>
    <t xml:space="preserve">Updated the RSMeans data with Q2 2017 figures </t>
  </si>
  <si>
    <t>I:\FHLBUDA\Community Investment\I DRIVE FHLBUDA\UDAs\Production\25019_Rental Disbursement Workbook\Test 06222017</t>
  </si>
  <si>
    <t xml:space="preserve">Updated the RSMeans data with Q4 2017 figures </t>
  </si>
  <si>
    <t>Updated January 2018</t>
  </si>
  <si>
    <t>I:\FHLBUDA\Community Investment\I DRIVE FHLBUDA\UDAs\Production\25019_Rental Disbursement Workbook\Test\Test 01042018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</si>
</sst>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5" formatCode="&quot;$&quot;#,##0_);\(&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quot;$&quot;#,##0"/>
    <numFmt numFmtId="166" formatCode="&quot;$&quot;#,##0.00"/>
    <numFmt numFmtId="167" formatCode="0.000%"/>
    <numFmt numFmtId="168" formatCode="0.0%"/>
    <numFmt numFmtId="169" formatCode="0&quot; Person&quot;"/>
    <numFmt numFmtId="170" formatCode="0&quot; People&quot;"/>
    <numFmt numFmtId="171" formatCode="0.000"/>
    <numFmt numFmtId="172" formatCode="0.00000"/>
    <numFmt numFmtId="173" formatCode="[$-409]mmmm\ d\,\ yyyy;@"/>
    <numFmt numFmtId="174" formatCode="0&quot; People:&quot;"/>
    <numFmt numFmtId="175" formatCode="0&quot; Person:&quot;"/>
    <numFmt numFmtId="176" formatCode="&quot;&gt;&quot;0%"/>
    <numFmt numFmtId="177" formatCode="#,##0&quot; Total Units&quot;"/>
    <numFmt numFmtId="178" formatCode="0%&quot; AMI&quot;"/>
    <numFmt numFmtId="179" formatCode="&quot;Affordable Rent for household targeted at &quot;0%&quot; of AMI&quot;"/>
    <numFmt numFmtId="180" formatCode="0%&quot; Affordable Rent&quot;"/>
    <numFmt numFmtId="181" formatCode="&quot;VLI (&quot;0%&quot;) Affordable Rent&quot;"/>
    <numFmt numFmtId="182" formatCode="0&quot; Bedroom&quot;"/>
    <numFmt numFmtId="183" formatCode="&quot;Income limits in effect as of &quot;m/d/yyyy"/>
    <numFmt numFmtId="184" formatCode="0.0000%"/>
  </numFmts>
  <fonts count="161">
    <font>
      <sz val="10"/>
      <name val="Arial"/>
    </font>
    <font>
      <sz val="10"/>
      <color theme="1"/>
      <name val="Arial"/>
      <family val="2"/>
    </font>
    <font>
      <sz val="10"/>
      <color theme="1"/>
      <name val="Arial"/>
      <family val="2"/>
    </font>
    <font>
      <sz val="10"/>
      <color theme="1"/>
      <name val="Arial"/>
      <family val="2"/>
    </font>
    <font>
      <sz val="8"/>
      <color theme="1"/>
      <name val="Arial"/>
      <family val="2"/>
    </font>
    <font>
      <sz val="9"/>
      <color theme="1"/>
      <name val="Arial"/>
      <family val="2"/>
    </font>
    <font>
      <sz val="9"/>
      <color theme="1"/>
      <name val="Arial"/>
      <family val="2"/>
    </font>
    <font>
      <sz val="8"/>
      <color theme="1"/>
      <name val="Arial"/>
      <family val="2"/>
    </font>
    <font>
      <sz val="8"/>
      <color theme="1"/>
      <name val="Arial"/>
      <family val="2"/>
    </font>
    <font>
      <sz val="8"/>
      <color theme="1"/>
      <name val="Arial"/>
      <family val="2"/>
    </font>
    <font>
      <sz val="10"/>
      <name val="Arial"/>
      <family val="2"/>
    </font>
    <font>
      <sz val="12"/>
      <name val="Arial"/>
      <family val="2"/>
    </font>
    <font>
      <b/>
      <sz val="12"/>
      <name val="Arial"/>
      <family val="2"/>
    </font>
    <font>
      <sz val="11"/>
      <name val="Arial"/>
      <family val="2"/>
    </font>
    <font>
      <b/>
      <sz val="11"/>
      <name val="Arial"/>
      <family val="2"/>
    </font>
    <font>
      <b/>
      <sz val="10"/>
      <name val="Arial"/>
      <family val="2"/>
    </font>
    <font>
      <sz val="8"/>
      <name val="Arial"/>
      <family val="2"/>
    </font>
    <font>
      <sz val="11"/>
      <name val="Times New Roman"/>
      <family val="1"/>
    </font>
    <font>
      <b/>
      <sz val="11"/>
      <name val="Times New Roman"/>
      <family val="1"/>
    </font>
    <font>
      <sz val="8"/>
      <name val="Arial"/>
      <family val="2"/>
    </font>
    <font>
      <b/>
      <sz val="9"/>
      <name val="Arial"/>
      <family val="2"/>
    </font>
    <font>
      <sz val="9"/>
      <name val="Arial"/>
      <family val="2"/>
    </font>
    <font>
      <sz val="10"/>
      <name val="Times New Roman"/>
      <family val="1"/>
    </font>
    <font>
      <i/>
      <sz val="11"/>
      <name val="Arial"/>
      <family val="2"/>
    </font>
    <font>
      <sz val="9"/>
      <color rgb="FFFF0000"/>
      <name val="Arial"/>
      <family val="2"/>
    </font>
    <font>
      <i/>
      <sz val="9"/>
      <name val="Arial"/>
      <family val="2"/>
    </font>
    <font>
      <sz val="8"/>
      <color rgb="FFFF0000"/>
      <name val="Arial"/>
      <family val="2"/>
    </font>
    <font>
      <b/>
      <i/>
      <sz val="9"/>
      <name val="Arial"/>
      <family val="2"/>
    </font>
    <font>
      <sz val="9"/>
      <name val="Times New Roman"/>
      <family val="1"/>
    </font>
    <font>
      <sz val="9"/>
      <color indexed="48"/>
      <name val="Arial"/>
      <family val="2"/>
    </font>
    <font>
      <sz val="9"/>
      <color indexed="14"/>
      <name val="Arial"/>
      <family val="2"/>
    </font>
    <font>
      <sz val="10"/>
      <color rgb="FFFF0000"/>
      <name val="Arial"/>
      <family val="2"/>
    </font>
    <font>
      <sz val="10"/>
      <name val="MS Sans Serif"/>
      <family val="2"/>
    </font>
    <font>
      <u/>
      <sz val="10"/>
      <color theme="10"/>
      <name val="Arial"/>
      <family val="2"/>
    </font>
    <font>
      <b/>
      <sz val="9"/>
      <color theme="0"/>
      <name val="Arial"/>
      <family val="2"/>
    </font>
    <font>
      <sz val="9"/>
      <name val="Arial Narrow"/>
      <family val="2"/>
    </font>
    <font>
      <b/>
      <sz val="9"/>
      <color theme="0"/>
      <name val="Arial Narrow"/>
      <family val="2"/>
    </font>
    <font>
      <b/>
      <sz val="10"/>
      <color rgb="FFFF0000"/>
      <name val="Arial"/>
      <family val="2"/>
    </font>
    <font>
      <b/>
      <sz val="9"/>
      <color rgb="FFFF0000"/>
      <name val="Arial"/>
      <family val="2"/>
    </font>
    <font>
      <i/>
      <sz val="10"/>
      <name val="Arial"/>
      <family val="2"/>
    </font>
    <font>
      <sz val="9"/>
      <color theme="0"/>
      <name val="Arial"/>
      <family val="2"/>
    </font>
    <font>
      <b/>
      <sz val="8"/>
      <color theme="1"/>
      <name val="Arial"/>
      <family val="2"/>
    </font>
    <font>
      <b/>
      <sz val="10"/>
      <color theme="0"/>
      <name val="Arial"/>
      <family val="2"/>
    </font>
    <font>
      <b/>
      <sz val="9"/>
      <color theme="1"/>
      <name val="Arial"/>
      <family val="2"/>
    </font>
    <font>
      <b/>
      <sz val="11"/>
      <color theme="1"/>
      <name val="Arial"/>
      <family val="2"/>
    </font>
    <font>
      <sz val="11"/>
      <color theme="1"/>
      <name val="Calibri"/>
      <family val="2"/>
    </font>
    <font>
      <u/>
      <sz val="7"/>
      <color theme="10"/>
      <name val="Arial"/>
      <family val="2"/>
    </font>
    <font>
      <u/>
      <sz val="12"/>
      <color theme="10"/>
      <name val="Arial"/>
      <family val="2"/>
    </font>
    <font>
      <sz val="9.5"/>
      <name val="Arial"/>
      <family val="2"/>
    </font>
    <font>
      <sz val="10"/>
      <color theme="0"/>
      <name val="Arial"/>
      <family val="2"/>
    </font>
    <font>
      <sz val="9"/>
      <color indexed="81"/>
      <name val="Arial"/>
      <family val="2"/>
    </font>
    <font>
      <i/>
      <sz val="9"/>
      <color theme="0"/>
      <name val="Arial"/>
      <family val="2"/>
    </font>
    <font>
      <b/>
      <i/>
      <sz val="9"/>
      <color theme="0"/>
      <name val="Arial"/>
      <family val="2"/>
    </font>
    <font>
      <sz val="11"/>
      <color rgb="FFFF0000"/>
      <name val="Arial"/>
      <family val="2"/>
    </font>
    <font>
      <sz val="14"/>
      <color rgb="FFFF0000"/>
      <name val="Arial"/>
      <family val="2"/>
    </font>
    <font>
      <b/>
      <sz val="11"/>
      <color theme="0"/>
      <name val="Arial"/>
      <family val="2"/>
    </font>
    <font>
      <b/>
      <sz val="9"/>
      <color rgb="FF00B0F0"/>
      <name val="Arial"/>
      <family val="2"/>
    </font>
    <font>
      <b/>
      <sz val="9"/>
      <color theme="1" tint="0.34998626667073579"/>
      <name val="Arial"/>
      <family val="2"/>
    </font>
    <font>
      <b/>
      <sz val="9"/>
      <color theme="1" tint="0.249977111117893"/>
      <name val="Arial"/>
      <family val="2"/>
    </font>
    <font>
      <b/>
      <sz val="10"/>
      <color theme="1" tint="0.34998626667073579"/>
      <name val="Arial"/>
      <family val="2"/>
    </font>
    <font>
      <sz val="10"/>
      <color theme="1" tint="0.34998626667073579"/>
      <name val="Arial"/>
      <family val="2"/>
    </font>
    <font>
      <sz val="9"/>
      <color theme="1" tint="0.34998626667073579"/>
      <name val="Arial"/>
      <family val="2"/>
    </font>
    <font>
      <b/>
      <sz val="12"/>
      <color theme="1" tint="0.34998626667073579"/>
      <name val="Arial"/>
      <family val="2"/>
    </font>
    <font>
      <sz val="10"/>
      <color theme="1" tint="0.249977111117893"/>
      <name val="Arial"/>
      <family val="2"/>
    </font>
    <font>
      <b/>
      <sz val="12"/>
      <color rgb="FF00B0F0"/>
      <name val="Times New Roman"/>
      <family val="1"/>
    </font>
    <font>
      <b/>
      <sz val="14"/>
      <color rgb="FF00B0F0"/>
      <name val="Times New Roman"/>
      <family val="1"/>
    </font>
    <font>
      <b/>
      <sz val="10"/>
      <color theme="1" tint="0.34998626667073579"/>
      <name val="Times New Roman"/>
      <family val="1"/>
    </font>
    <font>
      <sz val="10"/>
      <color theme="1" tint="0.499984740745262"/>
      <name val="Arial"/>
      <family val="2"/>
    </font>
    <font>
      <b/>
      <sz val="10"/>
      <color theme="1" tint="0.499984740745262"/>
      <name val="Arial"/>
      <family val="2"/>
    </font>
    <font>
      <sz val="9"/>
      <color theme="1" tint="0.249977111117893"/>
      <name val="Arial"/>
      <family val="2"/>
    </font>
    <font>
      <b/>
      <sz val="10"/>
      <color theme="1" tint="0.249977111117893"/>
      <name val="Arial"/>
      <family val="2"/>
    </font>
    <font>
      <i/>
      <sz val="9"/>
      <color theme="1" tint="0.34998626667073579"/>
      <name val="Arial"/>
      <family val="2"/>
    </font>
    <font>
      <b/>
      <i/>
      <sz val="9"/>
      <color theme="1" tint="0.34998626667073579"/>
      <name val="Arial"/>
      <family val="2"/>
    </font>
    <font>
      <sz val="9"/>
      <color theme="0"/>
      <name val="Times New Roman"/>
      <family val="1"/>
    </font>
    <font>
      <sz val="8"/>
      <color theme="0"/>
      <name val="Arial Narrow"/>
      <family val="2"/>
    </font>
    <font>
      <sz val="10"/>
      <color theme="0"/>
      <name val="Times New Roman"/>
      <family val="1"/>
    </font>
    <font>
      <sz val="11"/>
      <color theme="0"/>
      <name val="Times New Roman"/>
      <family val="1"/>
    </font>
    <font>
      <b/>
      <sz val="12"/>
      <color theme="1" tint="0.249977111117893"/>
      <name val="Arial"/>
      <family val="2"/>
    </font>
    <font>
      <b/>
      <sz val="12"/>
      <color theme="1" tint="0.499984740745262"/>
      <name val="Arial"/>
      <family val="2"/>
    </font>
    <font>
      <b/>
      <sz val="10"/>
      <color theme="1" tint="0.499984740745262"/>
      <name val="Times New Roman"/>
      <family val="1"/>
    </font>
    <font>
      <b/>
      <u/>
      <sz val="10"/>
      <color theme="9" tint="0.39997558519241921"/>
      <name val="Times New Roman"/>
      <family val="1"/>
    </font>
    <font>
      <b/>
      <sz val="11"/>
      <color rgb="FFFF3B3B"/>
      <name val="Arial"/>
      <family val="2"/>
    </font>
    <font>
      <b/>
      <sz val="9"/>
      <color theme="9" tint="-0.249977111117893"/>
      <name val="Arial"/>
      <family val="2"/>
    </font>
    <font>
      <sz val="9"/>
      <color rgb="FF7C6C6C"/>
      <name val="Arial"/>
      <family val="2"/>
    </font>
    <font>
      <sz val="8"/>
      <color theme="1" tint="0.249977111117893"/>
      <name val="Arial"/>
      <family val="2"/>
    </font>
    <font>
      <b/>
      <sz val="11"/>
      <color theme="1" tint="0.249977111117893"/>
      <name val="Arial"/>
      <family val="2"/>
    </font>
    <font>
      <b/>
      <sz val="13"/>
      <color rgb="FF00B0F0"/>
      <name val="Times New Roman"/>
      <family val="1"/>
    </font>
    <font>
      <b/>
      <sz val="8"/>
      <name val="Arial"/>
      <family val="2"/>
    </font>
    <font>
      <i/>
      <sz val="9"/>
      <color theme="1" tint="0.249977111117893"/>
      <name val="Arial"/>
      <family val="2"/>
    </font>
    <font>
      <sz val="9"/>
      <color rgb="FF00B0F0"/>
      <name val="Arial"/>
      <family val="2"/>
    </font>
    <font>
      <b/>
      <sz val="10"/>
      <color rgb="FF00B0F0"/>
      <name val="Arial"/>
      <family val="2"/>
    </font>
    <font>
      <sz val="8"/>
      <color theme="1" tint="0.34998626667073579"/>
      <name val="Arial"/>
      <family val="2"/>
    </font>
    <font>
      <i/>
      <u/>
      <sz val="9"/>
      <color theme="1" tint="0.249977111117893"/>
      <name val="Arial"/>
      <family val="2"/>
    </font>
    <font>
      <b/>
      <sz val="9"/>
      <color theme="1" tint="0.34998626667073579"/>
      <name val="Times New Roman"/>
      <family val="1"/>
    </font>
    <font>
      <sz val="9"/>
      <color rgb="FF6D6D6D"/>
      <name val="Arial"/>
      <family val="2"/>
    </font>
    <font>
      <b/>
      <sz val="11"/>
      <color rgb="FFFF0000"/>
      <name val="Arial"/>
      <family val="2"/>
    </font>
    <font>
      <u/>
      <sz val="9"/>
      <color theme="10"/>
      <name val="Arial"/>
      <family val="2"/>
    </font>
    <font>
      <b/>
      <sz val="9"/>
      <color theme="1" tint="0.499984740745262"/>
      <name val="Arial"/>
      <family val="2"/>
    </font>
    <font>
      <i/>
      <sz val="9"/>
      <name val="Arial Narrow"/>
      <family val="2"/>
    </font>
    <font>
      <b/>
      <sz val="9"/>
      <name val="Arial Narrow"/>
      <family val="2"/>
    </font>
    <font>
      <sz val="9"/>
      <color theme="0"/>
      <name val="Arial Narrow"/>
      <family val="2"/>
    </font>
    <font>
      <b/>
      <i/>
      <sz val="9"/>
      <color theme="1"/>
      <name val="Arial"/>
      <family val="2"/>
    </font>
    <font>
      <b/>
      <sz val="11"/>
      <color theme="1" tint="0.34998626667073579"/>
      <name val="Times New Roman"/>
      <family val="1"/>
    </font>
    <font>
      <sz val="9"/>
      <color theme="4"/>
      <name val="Arial"/>
      <family val="2"/>
    </font>
    <font>
      <b/>
      <sz val="11"/>
      <color theme="1" tint="0.249977111117893"/>
      <name val="Times New Roman"/>
      <family val="1"/>
    </font>
    <font>
      <sz val="10"/>
      <name val="Arial"/>
      <family val="2"/>
    </font>
    <font>
      <sz val="12"/>
      <color theme="1" tint="0.34998626667073579"/>
      <name val="Arial"/>
      <family val="2"/>
    </font>
    <font>
      <sz val="9"/>
      <color theme="1" tint="0.14999847407452621"/>
      <name val="Arial"/>
      <family val="2"/>
    </font>
    <font>
      <b/>
      <sz val="9"/>
      <color theme="1" tint="0.14999847407452621"/>
      <name val="Arial"/>
      <family val="2"/>
    </font>
    <font>
      <b/>
      <sz val="14"/>
      <color theme="1" tint="0.14999847407452621"/>
      <name val="Times New Roman"/>
      <family val="1"/>
    </font>
    <font>
      <b/>
      <i/>
      <sz val="9"/>
      <color theme="1" tint="0.14999847407452621"/>
      <name val="Arial"/>
      <family val="2"/>
    </font>
    <font>
      <i/>
      <sz val="9"/>
      <color theme="1" tint="0.14999847407452621"/>
      <name val="Arial"/>
      <family val="2"/>
    </font>
    <font>
      <b/>
      <sz val="12"/>
      <color theme="1" tint="0.14999847407452621"/>
      <name val="Times New Roman"/>
      <family val="1"/>
    </font>
    <font>
      <b/>
      <sz val="12"/>
      <color theme="1" tint="0.14999847407452621"/>
      <name val="Arial"/>
      <family val="2"/>
    </font>
    <font>
      <b/>
      <sz val="10"/>
      <color theme="1" tint="0.14999847407452621"/>
      <name val="Arial"/>
      <family val="2"/>
    </font>
    <font>
      <b/>
      <sz val="14"/>
      <color theme="1" tint="0.34998626667073579"/>
      <name val="Arial"/>
      <family val="2"/>
    </font>
    <font>
      <u/>
      <sz val="8"/>
      <color theme="10"/>
      <name val="Arial"/>
      <family val="2"/>
    </font>
    <font>
      <b/>
      <u/>
      <sz val="8"/>
      <color theme="0"/>
      <name val="Times New Roman"/>
      <family val="1"/>
    </font>
    <font>
      <sz val="8"/>
      <color theme="0"/>
      <name val="Times New Roman"/>
      <family val="1"/>
    </font>
    <font>
      <b/>
      <sz val="8"/>
      <color theme="1" tint="0.34998626667073579"/>
      <name val="Arial"/>
      <family val="2"/>
    </font>
    <font>
      <b/>
      <sz val="8"/>
      <color theme="0"/>
      <name val="Arial"/>
      <family val="2"/>
    </font>
    <font>
      <b/>
      <sz val="8"/>
      <color rgb="FFFF0000"/>
      <name val="Arial"/>
      <family val="2"/>
    </font>
    <font>
      <b/>
      <sz val="8"/>
      <color theme="1" tint="0.249977111117893"/>
      <name val="Arial"/>
      <family val="2"/>
    </font>
    <font>
      <b/>
      <sz val="9"/>
      <color rgb="FF6D6D6D"/>
      <name val="Arial"/>
      <family val="2"/>
    </font>
    <font>
      <b/>
      <i/>
      <sz val="9"/>
      <color rgb="FF6D6D6D"/>
      <name val="Arial"/>
      <family val="2"/>
    </font>
    <font>
      <sz val="9"/>
      <color theme="1" tint="4.9989318521683403E-2"/>
      <name val="Arial"/>
      <family val="2"/>
    </font>
    <font>
      <b/>
      <sz val="9"/>
      <color theme="1" tint="4.9989318521683403E-2"/>
      <name val="Arial"/>
      <family val="2"/>
    </font>
    <font>
      <sz val="9"/>
      <color theme="1" tint="0.249977111117893"/>
      <name val="Wingdings"/>
      <charset val="2"/>
    </font>
    <font>
      <sz val="14"/>
      <color theme="1" tint="0.249977111117893"/>
      <name val="Arial"/>
      <family val="2"/>
    </font>
    <font>
      <sz val="10"/>
      <name val="Arial"/>
      <family val="2"/>
    </font>
    <font>
      <u/>
      <sz val="10"/>
      <color theme="11"/>
      <name val="Arial"/>
      <family val="2"/>
    </font>
    <font>
      <b/>
      <sz val="12"/>
      <color theme="1" tint="0.249977111117893"/>
      <name val="Times New Roman"/>
      <family val="1"/>
    </font>
    <font>
      <b/>
      <sz val="14"/>
      <color theme="1" tint="0.249977111117893"/>
      <name val="Times New Roman"/>
      <family val="1"/>
    </font>
    <font>
      <sz val="9"/>
      <color indexed="8"/>
      <name val="Arial"/>
      <family val="2"/>
    </font>
    <font>
      <sz val="10"/>
      <color theme="1" tint="0.14999847407452621"/>
      <name val="Arial"/>
      <family val="2"/>
    </font>
    <font>
      <sz val="8.5"/>
      <name val="Arial"/>
      <family val="2"/>
    </font>
    <font>
      <b/>
      <sz val="8.5"/>
      <name val="Arial"/>
      <family val="2"/>
    </font>
    <font>
      <b/>
      <sz val="14"/>
      <name val="Times New Roman"/>
      <family val="1"/>
    </font>
    <font>
      <sz val="14"/>
      <name val="Times New Roman"/>
      <family val="1"/>
    </font>
    <font>
      <b/>
      <i/>
      <sz val="9"/>
      <color theme="1" tint="0.249977111117893"/>
      <name val="Arial"/>
      <family val="2"/>
    </font>
    <font>
      <b/>
      <i/>
      <sz val="9"/>
      <color theme="1" tint="4.9989318521683403E-2"/>
      <name val="Arial"/>
      <family val="2"/>
    </font>
    <font>
      <sz val="9"/>
      <color rgb="FF1ABDEF"/>
      <name val="Arial"/>
      <family val="2"/>
    </font>
    <font>
      <sz val="9"/>
      <name val="MS Sans Serif"/>
      <family val="2"/>
    </font>
    <font>
      <b/>
      <sz val="9"/>
      <color indexed="18"/>
      <name val="Arial"/>
      <family val="2"/>
    </font>
    <font>
      <sz val="10"/>
      <color indexed="12"/>
      <name val="Arial"/>
      <family val="2"/>
    </font>
    <font>
      <sz val="9"/>
      <color rgb="FF0066FF"/>
      <name val="Arial"/>
      <family val="2"/>
    </font>
    <font>
      <i/>
      <sz val="10"/>
      <color indexed="12"/>
      <name val="Arial"/>
      <family val="2"/>
    </font>
    <font>
      <u/>
      <sz val="10"/>
      <color indexed="12"/>
      <name val="Arial MT"/>
    </font>
    <font>
      <b/>
      <sz val="10"/>
      <color indexed="12"/>
      <name val="Arial"/>
      <family val="2"/>
    </font>
    <font>
      <b/>
      <sz val="12"/>
      <color indexed="10"/>
      <name val="Arial"/>
      <family val="2"/>
    </font>
    <font>
      <b/>
      <sz val="14"/>
      <color rgb="FF046937"/>
      <name val="Times New Roman"/>
      <family val="1"/>
    </font>
    <font>
      <sz val="9"/>
      <color rgb="FF046937"/>
      <name val="Arial"/>
      <family val="2"/>
    </font>
    <font>
      <b/>
      <sz val="12"/>
      <color rgb="FF046937"/>
      <name val="Times New Roman"/>
      <family val="1"/>
    </font>
    <font>
      <b/>
      <u/>
      <sz val="14"/>
      <color rgb="FF046937"/>
      <name val="Times New Roman"/>
      <family val="1"/>
    </font>
    <font>
      <sz val="11"/>
      <color rgb="FF046937"/>
      <name val="Times New Roman"/>
      <family val="1"/>
    </font>
    <font>
      <i/>
      <sz val="9"/>
      <color rgb="FF046937"/>
      <name val="Arial"/>
      <family val="2"/>
    </font>
    <font>
      <b/>
      <u/>
      <sz val="12"/>
      <color rgb="FF046937"/>
      <name val="Times New Roman"/>
      <family val="1"/>
    </font>
    <font>
      <b/>
      <sz val="10"/>
      <color rgb="FF046937"/>
      <name val="Arial"/>
      <family val="2"/>
    </font>
    <font>
      <sz val="12"/>
      <name val="Times New Roman"/>
      <family val="1"/>
    </font>
    <font>
      <b/>
      <sz val="10"/>
      <color theme="4"/>
      <name val="Arial"/>
      <family val="2"/>
    </font>
    <font>
      <i/>
      <sz val="8"/>
      <name val="Arial"/>
      <family val="2"/>
    </font>
  </fonts>
  <fills count="3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theme="3" tint="0.39997558519241921"/>
        <bgColor indexed="64"/>
      </patternFill>
    </fill>
    <fill>
      <patternFill patternType="solid">
        <fgColor theme="0"/>
        <bgColor auto="1"/>
      </patternFill>
    </fill>
    <fill>
      <patternFill patternType="lightUp">
        <fgColor theme="0" tint="-0.24994659260841701"/>
        <bgColor theme="0"/>
      </patternFill>
    </fill>
    <fill>
      <patternFill patternType="solid">
        <fgColor theme="0"/>
        <bgColor theme="0" tint="-0.24994659260841701"/>
      </patternFill>
    </fill>
    <fill>
      <patternFill patternType="solid">
        <fgColor rgb="FFE0E0E0"/>
        <bgColor indexed="64"/>
      </patternFill>
    </fill>
    <fill>
      <patternFill patternType="solid">
        <fgColor rgb="FFF4FCF2"/>
        <bgColor indexed="64"/>
      </patternFill>
    </fill>
    <fill>
      <gradientFill degree="270">
        <stop position="0">
          <color theme="0"/>
        </stop>
        <stop position="1">
          <color theme="0" tint="-0.25098422193060094"/>
        </stop>
      </gradientFill>
    </fill>
    <fill>
      <patternFill patternType="solid">
        <fgColor theme="0"/>
        <bgColor theme="0"/>
      </patternFill>
    </fill>
    <fill>
      <patternFill patternType="lightUp">
        <fgColor theme="0" tint="-0.24994659260841701"/>
        <bgColor indexed="65"/>
      </patternFill>
    </fill>
    <fill>
      <patternFill patternType="solid">
        <fgColor indexed="65"/>
        <bgColor theme="0"/>
      </patternFill>
    </fill>
    <fill>
      <patternFill patternType="solid">
        <fgColor rgb="FF00A7E2"/>
        <bgColor indexed="64"/>
      </patternFill>
    </fill>
    <fill>
      <patternFill patternType="solid">
        <fgColor theme="6" tint="0.59999389629810485"/>
        <bgColor theme="6" tint="0.39994506668294322"/>
      </patternFill>
    </fill>
    <fill>
      <patternFill patternType="solid">
        <fgColor rgb="FFE2E2E2"/>
        <bgColor indexed="64"/>
      </patternFill>
    </fill>
    <fill>
      <gradientFill degree="90">
        <stop position="0">
          <color theme="0" tint="-0.25098422193060094"/>
        </stop>
        <stop position="1">
          <color theme="0" tint="-0.1490218817712943"/>
        </stop>
      </gradientFill>
    </fill>
    <fill>
      <gradientFill degree="90">
        <stop position="0">
          <color theme="0" tint="-0.1490218817712943"/>
        </stop>
        <stop position="1">
          <color rgb="FFEEEEEE"/>
        </stop>
      </gradientFill>
    </fill>
    <fill>
      <gradientFill degree="90">
        <stop position="0">
          <color rgb="FF92D050"/>
        </stop>
        <stop position="1">
          <color rgb="FFB2DE82"/>
        </stop>
      </gradientFill>
    </fill>
    <fill>
      <gradientFill degree="90">
        <stop position="0">
          <color theme="0" tint="-0.1490218817712943"/>
        </stop>
        <stop position="1">
          <color theme="0" tint="-5.0965910824915313E-2"/>
        </stop>
      </gradientFill>
    </fill>
    <fill>
      <gradientFill degree="90">
        <stop position="0">
          <color rgb="FFB2DE82"/>
        </stop>
        <stop position="1">
          <color rgb="FFD4EDB9"/>
        </stop>
      </gradientFill>
    </fill>
    <fill>
      <patternFill patternType="solid">
        <fgColor rgb="FFF8F8F8"/>
        <bgColor indexed="64"/>
      </patternFill>
    </fill>
    <fill>
      <patternFill patternType="solid">
        <fgColor rgb="FF92D050"/>
        <bgColor indexed="64"/>
      </patternFill>
    </fill>
    <fill>
      <patternFill patternType="solid">
        <fgColor theme="0"/>
        <bgColor indexed="22"/>
      </patternFill>
    </fill>
    <fill>
      <patternFill patternType="solid">
        <fgColor rgb="FFC9F1FF"/>
        <bgColor indexed="64"/>
      </patternFill>
    </fill>
    <fill>
      <patternFill patternType="lightUp"/>
    </fill>
    <fill>
      <patternFill patternType="solid">
        <fgColor rgb="FFFCB525"/>
        <bgColor indexed="64"/>
      </patternFill>
    </fill>
    <fill>
      <patternFill patternType="solid">
        <fgColor rgb="FFD4EDB9"/>
        <bgColor indexed="64"/>
      </patternFill>
    </fill>
    <fill>
      <patternFill patternType="solid">
        <fgColor theme="0" tint="-0.34998626667073579"/>
        <bgColor indexed="64"/>
      </patternFill>
    </fill>
  </fills>
  <borders count="3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double">
        <color indexed="64"/>
      </top>
      <bottom/>
      <diagonal/>
    </border>
    <border>
      <left/>
      <right/>
      <top style="medium">
        <color theme="0"/>
      </top>
      <bottom/>
      <diagonal/>
    </border>
    <border>
      <left style="thin">
        <color theme="0" tint="-0.499984740745262"/>
      </left>
      <right style="thin">
        <color indexed="64"/>
      </right>
      <top/>
      <bottom style="thin">
        <color indexed="64"/>
      </bottom>
      <diagonal/>
    </border>
    <border>
      <left/>
      <right/>
      <top style="thin">
        <color theme="0" tint="-0.34998626667073579"/>
      </top>
      <bottom style="thin">
        <color theme="0" tint="-0.34998626667073579"/>
      </bottom>
      <diagonal/>
    </border>
    <border>
      <left style="thin">
        <color theme="0" tint="-0.499984740745262"/>
      </left>
      <right style="thin">
        <color theme="0" tint="-0.499984740745262"/>
      </right>
      <top/>
      <bottom/>
      <diagonal/>
    </border>
    <border>
      <left/>
      <right style="thin">
        <color theme="0" tint="-0.499984740745262"/>
      </right>
      <top/>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bottom style="thin">
        <color theme="0" tint="-0.34998626667073579"/>
      </bottom>
      <diagonal/>
    </border>
    <border>
      <left/>
      <right style="medium">
        <color theme="0"/>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
      <left style="thin">
        <color indexed="64"/>
      </left>
      <right style="thin">
        <color theme="0" tint="-0.34998626667073579"/>
      </right>
      <top style="thin">
        <color indexed="64"/>
      </top>
      <bottom style="thin">
        <color theme="0" tint="-0.34998626667073579"/>
      </bottom>
      <diagonal/>
    </border>
    <border>
      <left style="thin">
        <color theme="0" tint="-0.34998626667073579"/>
      </left>
      <right style="thin">
        <color theme="0" tint="-0.34998626667073579"/>
      </right>
      <top style="thin">
        <color indexed="64"/>
      </top>
      <bottom style="thin">
        <color indexed="64"/>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top style="thin">
        <color theme="0" tint="-0.34998626667073579"/>
      </top>
      <bottom style="thin">
        <color theme="0" tint="-0.34998626667073579"/>
      </bottom>
      <diagonal/>
    </border>
    <border>
      <left/>
      <right style="thin">
        <color theme="0"/>
      </right>
      <top style="thin">
        <color theme="0"/>
      </top>
      <bottom style="thin">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bottom style="thin">
        <color theme="0"/>
      </bottom>
      <diagonal/>
    </border>
    <border>
      <left/>
      <right style="thin">
        <color theme="0"/>
      </right>
      <top/>
      <bottom/>
      <diagonal/>
    </border>
    <border>
      <left/>
      <right/>
      <top/>
      <bottom style="thin">
        <color theme="0"/>
      </bottom>
      <diagonal/>
    </border>
    <border>
      <left/>
      <right/>
      <top style="thin">
        <color theme="0"/>
      </top>
      <bottom/>
      <diagonal/>
    </border>
    <border>
      <left/>
      <right style="thin">
        <color theme="0"/>
      </right>
      <top style="thin">
        <color theme="0"/>
      </top>
      <bottom/>
      <diagonal/>
    </border>
    <border>
      <left style="double">
        <color theme="0" tint="-0.34998626667073579"/>
      </left>
      <right style="double">
        <color theme="0" tint="-0.34998626667073579"/>
      </right>
      <top style="double">
        <color theme="0" tint="-0.34998626667073579"/>
      </top>
      <bottom style="double">
        <color theme="0" tint="-0.34998626667073579"/>
      </bottom>
      <diagonal/>
    </border>
    <border>
      <left style="thin">
        <color theme="0"/>
      </left>
      <right/>
      <top/>
      <bottom/>
      <diagonal/>
    </border>
    <border>
      <left style="thin">
        <color theme="0"/>
      </left>
      <right style="thin">
        <color theme="0"/>
      </right>
      <top/>
      <bottom/>
      <diagonal/>
    </border>
    <border>
      <left style="medium">
        <color theme="0"/>
      </left>
      <right style="medium">
        <color theme="0"/>
      </right>
      <top/>
      <bottom/>
      <diagonal/>
    </border>
    <border>
      <left style="medium">
        <color theme="0"/>
      </left>
      <right/>
      <top/>
      <bottom/>
      <diagonal/>
    </border>
    <border>
      <left style="thin">
        <color theme="0" tint="-0.34998626667073579"/>
      </left>
      <right/>
      <top/>
      <bottom/>
      <diagonal/>
    </border>
    <border>
      <left/>
      <right/>
      <top/>
      <bottom style="thin">
        <color theme="0" tint="-0.34998626667073579"/>
      </bottom>
      <diagonal/>
    </border>
    <border>
      <left style="thin">
        <color theme="0" tint="-0.34998626667073579"/>
      </left>
      <right/>
      <top/>
      <bottom style="thin">
        <color theme="0" tint="-0.34998626667073579"/>
      </bottom>
      <diagonal/>
    </border>
    <border>
      <left style="double">
        <color theme="0" tint="-0.34998626667073579"/>
      </left>
      <right style="double">
        <color theme="0" tint="-0.34998626667073579"/>
      </right>
      <top style="thin">
        <color indexed="64"/>
      </top>
      <bottom style="thin">
        <color theme="0" tint="-0.34998626667073579"/>
      </bottom>
      <diagonal/>
    </border>
    <border>
      <left style="double">
        <color theme="0" tint="-0.34998626667073579"/>
      </left>
      <right style="double">
        <color theme="0" tint="-0.34998626667073579"/>
      </right>
      <top style="thin">
        <color theme="0" tint="-0.34998626667073579"/>
      </top>
      <bottom style="thin">
        <color theme="0" tint="-0.34998626667073579"/>
      </bottom>
      <diagonal/>
    </border>
    <border>
      <left/>
      <right/>
      <top style="thin">
        <color theme="0"/>
      </top>
      <bottom style="thin">
        <color theme="0"/>
      </bottom>
      <diagonal/>
    </border>
    <border>
      <left/>
      <right/>
      <top style="thin">
        <color theme="0" tint="-0.34998626667073579"/>
      </top>
      <bottom/>
      <diagonal/>
    </border>
    <border>
      <left/>
      <right/>
      <top/>
      <bottom style="medium">
        <color theme="0"/>
      </bottom>
      <diagonal/>
    </border>
    <border>
      <left/>
      <right/>
      <top style="medium">
        <color theme="0"/>
      </top>
      <bottom style="medium">
        <color theme="0"/>
      </bottom>
      <diagonal/>
    </border>
    <border>
      <left/>
      <right style="thin">
        <color theme="0" tint="-0.34998626667073579"/>
      </right>
      <top/>
      <bottom/>
      <diagonal/>
    </border>
    <border>
      <left style="double">
        <color theme="0" tint="-0.34998626667073579"/>
      </left>
      <right style="double">
        <color theme="0" tint="-0.34998626667073579"/>
      </right>
      <top style="thin">
        <color theme="0" tint="-0.34998626667073579"/>
      </top>
      <bottom style="double">
        <color theme="0" tint="-0.34998626667073579"/>
      </bottom>
      <diagonal/>
    </border>
    <border>
      <left style="thin">
        <color theme="0" tint="-0.34998626667073579"/>
      </left>
      <right/>
      <top style="thin">
        <color theme="0" tint="-0.34998626667073579"/>
      </top>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0" tint="-0.34998626667073579"/>
      </right>
      <top style="thin">
        <color theme="0" tint="-0.34998626667073579"/>
      </top>
      <bottom style="thin">
        <color theme="0" tint="-0.34998626667073579"/>
      </bottom>
      <diagonal/>
    </border>
    <border>
      <left style="thin">
        <color theme="1" tint="0.499984740745262"/>
      </left>
      <right style="thin">
        <color theme="0" tint="-0.34998626667073579"/>
      </right>
      <top style="thin">
        <color theme="0" tint="-0.34998626667073579"/>
      </top>
      <bottom style="thin">
        <color theme="1" tint="0.499984740745262"/>
      </bottom>
      <diagonal/>
    </border>
    <border>
      <left style="thin">
        <color theme="0" tint="-0.34998626667073579"/>
      </left>
      <right style="thin">
        <color theme="0" tint="-0.34998626667073579"/>
      </right>
      <top style="thin">
        <color theme="0" tint="-0.34998626667073579"/>
      </top>
      <bottom style="thin">
        <color theme="1" tint="0.499984740745262"/>
      </bottom>
      <diagonal/>
    </border>
    <border>
      <left style="thin">
        <color theme="0" tint="-0.34998626667073579"/>
      </left>
      <right/>
      <top style="thin">
        <color theme="0" tint="-0.34998626667073579"/>
      </top>
      <bottom style="thin">
        <color theme="1" tint="0.499984740745262"/>
      </bottom>
      <diagonal/>
    </border>
    <border>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34998626667073579"/>
      </left>
      <right style="thin">
        <color theme="0" tint="-0.34998626667073579"/>
      </right>
      <top style="thin">
        <color theme="0" tint="-0.499984740745262"/>
      </top>
      <bottom style="thin">
        <color theme="0" tint="-0.34998626667073579"/>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34998626667073579"/>
      </right>
      <top style="thin">
        <color theme="0" tint="-0.499984740745262"/>
      </top>
      <bottom style="thin">
        <color theme="0" tint="-0.34998626667073579"/>
      </bottom>
      <diagonal/>
    </border>
    <border>
      <left style="thin">
        <color theme="0" tint="-0.499984740745262"/>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499984740745262"/>
      </top>
      <bottom style="thin">
        <color theme="0" tint="-0.34998626667073579"/>
      </bottom>
      <diagonal/>
    </border>
    <border>
      <left style="thin">
        <color theme="0" tint="-0.34998626667073579"/>
      </left>
      <right/>
      <top style="thin">
        <color theme="0" tint="-0.34998626667073579"/>
      </top>
      <bottom style="thin">
        <color theme="0" tint="-0.499984740745262"/>
      </bottom>
      <diagonal/>
    </border>
    <border>
      <left/>
      <right style="thin">
        <color theme="0" tint="-0.34998626667073579"/>
      </right>
      <top style="thin">
        <color theme="0" tint="-0.499984740745262"/>
      </top>
      <bottom style="thin">
        <color theme="0" tint="-0.34998626667073579"/>
      </bottom>
      <diagonal/>
    </border>
    <border>
      <left/>
      <right style="thin">
        <color theme="0" tint="-0.34998626667073579"/>
      </right>
      <top style="thin">
        <color theme="0" tint="-0.34998626667073579"/>
      </top>
      <bottom style="thin">
        <color theme="0" tint="-0.499984740745262"/>
      </bottom>
      <diagonal/>
    </border>
    <border>
      <left style="thin">
        <color rgb="FF50A13F"/>
      </left>
      <right/>
      <top style="thin">
        <color rgb="FF50A13F"/>
      </top>
      <bottom style="thin">
        <color rgb="FF50A13F"/>
      </bottom>
      <diagonal/>
    </border>
    <border>
      <left/>
      <right/>
      <top style="thin">
        <color rgb="FF50A13F"/>
      </top>
      <bottom style="thin">
        <color rgb="FF50A13F"/>
      </bottom>
      <diagonal/>
    </border>
    <border>
      <left/>
      <right style="thin">
        <color rgb="FF50A13F"/>
      </right>
      <top style="thin">
        <color rgb="FF50A13F"/>
      </top>
      <bottom style="thin">
        <color rgb="FF50A13F"/>
      </bottom>
      <diagonal/>
    </border>
    <border>
      <left style="thin">
        <color rgb="FF50A13F"/>
      </left>
      <right/>
      <top style="thin">
        <color rgb="FF50A13F"/>
      </top>
      <bottom/>
      <diagonal/>
    </border>
    <border>
      <left/>
      <right/>
      <top style="thin">
        <color rgb="FF50A13F"/>
      </top>
      <bottom/>
      <diagonal/>
    </border>
    <border>
      <left/>
      <right style="thin">
        <color rgb="FF50A13F"/>
      </right>
      <top style="thin">
        <color rgb="FF50A13F"/>
      </top>
      <bottom/>
      <diagonal/>
    </border>
    <border>
      <left style="thin">
        <color rgb="FF50A13F"/>
      </left>
      <right/>
      <top/>
      <bottom/>
      <diagonal/>
    </border>
    <border>
      <left/>
      <right style="thin">
        <color rgb="FF50A13F"/>
      </right>
      <top/>
      <bottom/>
      <diagonal/>
    </border>
    <border>
      <left style="thin">
        <color rgb="FF50A13F"/>
      </left>
      <right/>
      <top/>
      <bottom style="thin">
        <color rgb="FF50A13F"/>
      </bottom>
      <diagonal/>
    </border>
    <border>
      <left/>
      <right/>
      <top/>
      <bottom style="thin">
        <color rgb="FF50A13F"/>
      </bottom>
      <diagonal/>
    </border>
    <border>
      <left/>
      <right style="thin">
        <color rgb="FF50A13F"/>
      </right>
      <top/>
      <bottom style="thin">
        <color rgb="FF50A13F"/>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double">
        <color theme="1" tint="0.499984740745262"/>
      </left>
      <right style="thin">
        <color theme="0" tint="-0.34998626667073579"/>
      </right>
      <top style="double">
        <color theme="1" tint="0.499984740745262"/>
      </top>
      <bottom style="double">
        <color theme="1" tint="0.499984740745262"/>
      </bottom>
      <diagonal/>
    </border>
    <border>
      <left style="thin">
        <color theme="0" tint="-0.34998626667073579"/>
      </left>
      <right style="thin">
        <color theme="0" tint="-0.34998626667073579"/>
      </right>
      <top style="double">
        <color theme="1" tint="0.499984740745262"/>
      </top>
      <bottom style="double">
        <color theme="1" tint="0.499984740745262"/>
      </bottom>
      <diagonal/>
    </border>
    <border>
      <left style="thin">
        <color theme="0" tint="-0.34998626667073579"/>
      </left>
      <right style="double">
        <color theme="1" tint="0.499984740745262"/>
      </right>
      <top style="double">
        <color theme="1" tint="0.499984740745262"/>
      </top>
      <bottom style="double">
        <color theme="1" tint="0.499984740745262"/>
      </bottom>
      <diagonal/>
    </border>
    <border>
      <left style="thin">
        <color theme="0" tint="-0.499984740745262"/>
      </left>
      <right/>
      <top style="thin">
        <color theme="0" tint="-0.499984740745262"/>
      </top>
      <bottom style="thin">
        <color theme="0" tint="-0.499984740745262"/>
      </bottom>
      <diagonal/>
    </border>
    <border>
      <left style="double">
        <color theme="0" tint="-0.499984740745262"/>
      </left>
      <right style="double">
        <color theme="0" tint="-0.499984740745262"/>
      </right>
      <top style="double">
        <color theme="0" tint="-0.499984740745262"/>
      </top>
      <bottom style="double">
        <color theme="0" tint="-0.499984740745262"/>
      </bottom>
      <diagonal/>
    </border>
    <border>
      <left style="thin">
        <color theme="0" tint="-0.499984740745262"/>
      </left>
      <right/>
      <top style="thin">
        <color theme="0" tint="-0.499984740745262"/>
      </top>
      <bottom/>
      <diagonal/>
    </border>
    <border>
      <left style="thin">
        <color theme="0" tint="-0.34998626667073579"/>
      </left>
      <right style="double">
        <color theme="0" tint="-0.499984740745262"/>
      </right>
      <top style="thin">
        <color theme="0" tint="-0.34998626667073579"/>
      </top>
      <bottom style="thin">
        <color theme="0" tint="-0.34998626667073579"/>
      </bottom>
      <diagonal/>
    </border>
    <border>
      <left style="double">
        <color theme="1" tint="0.499984740745262"/>
      </left>
      <right style="thin">
        <color theme="0" tint="-0.34998626667073579"/>
      </right>
      <top style="thin">
        <color theme="0" tint="-0.34998626667073579"/>
      </top>
      <bottom style="double">
        <color theme="1" tint="0.499984740745262"/>
      </bottom>
      <diagonal/>
    </border>
    <border>
      <left style="double">
        <color theme="1" tint="0.499984740745262"/>
      </left>
      <right style="thin">
        <color theme="0" tint="-0.34998626667073579"/>
      </right>
      <top style="thin">
        <color theme="0" tint="-0.34998626667073579"/>
      </top>
      <bottom style="thin">
        <color theme="0" tint="-0.34998626667073579"/>
      </bottom>
      <diagonal/>
    </border>
    <border>
      <left style="double">
        <color theme="0" tint="-0.499984740745262"/>
      </left>
      <right/>
      <top style="double">
        <color theme="0" tint="-0.499984740745262"/>
      </top>
      <bottom/>
      <diagonal/>
    </border>
    <border>
      <left/>
      <right/>
      <top style="double">
        <color theme="0" tint="-0.499984740745262"/>
      </top>
      <bottom/>
      <diagonal/>
    </border>
    <border>
      <left/>
      <right style="double">
        <color theme="0" tint="-0.499984740745262"/>
      </right>
      <top style="double">
        <color theme="0" tint="-0.499984740745262"/>
      </top>
      <bottom/>
      <diagonal/>
    </border>
    <border>
      <left style="double">
        <color theme="0" tint="-0.499984740745262"/>
      </left>
      <right/>
      <top/>
      <bottom/>
      <diagonal/>
    </border>
    <border>
      <left/>
      <right style="double">
        <color theme="0" tint="-0.499984740745262"/>
      </right>
      <top/>
      <bottom/>
      <diagonal/>
    </border>
    <border>
      <left style="double">
        <color theme="0" tint="-0.499984740745262"/>
      </left>
      <right/>
      <top/>
      <bottom style="double">
        <color theme="0" tint="-0.499984740745262"/>
      </bottom>
      <diagonal/>
    </border>
    <border>
      <left/>
      <right/>
      <top/>
      <bottom style="double">
        <color theme="0" tint="-0.499984740745262"/>
      </bottom>
      <diagonal/>
    </border>
    <border>
      <left/>
      <right style="double">
        <color theme="0" tint="-0.499984740745262"/>
      </right>
      <top/>
      <bottom style="double">
        <color theme="0" tint="-0.499984740745262"/>
      </bottom>
      <diagonal/>
    </border>
    <border>
      <left style="double">
        <color theme="0" tint="-0.499984740745262"/>
      </left>
      <right/>
      <top style="double">
        <color theme="0" tint="-0.499984740745262"/>
      </top>
      <bottom style="double">
        <color theme="0" tint="-0.499984740745262"/>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style="thin">
        <color theme="0" tint="-0.499984740745262"/>
      </left>
      <right/>
      <top/>
      <bottom/>
      <diagonal/>
    </border>
    <border>
      <left/>
      <right/>
      <top style="thin">
        <color theme="0" tint="-0.499984740745262"/>
      </top>
      <bottom/>
      <diagonal/>
    </border>
    <border>
      <left/>
      <right/>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bottom style="thin">
        <color theme="0" tint="-0.499984740745262"/>
      </bottom>
      <diagonal/>
    </border>
    <border>
      <left/>
      <right style="thin">
        <color theme="0"/>
      </right>
      <top style="thin">
        <color theme="0"/>
      </top>
      <bottom style="thin">
        <color theme="0" tint="-0.34998626667073579"/>
      </bottom>
      <diagonal/>
    </border>
    <border>
      <left/>
      <right style="thin">
        <color theme="0" tint="-0.499984740745262"/>
      </right>
      <top style="thin">
        <color theme="0" tint="-0.499984740745262"/>
      </top>
      <bottom/>
      <diagonal/>
    </border>
    <border>
      <left style="medium">
        <color theme="0"/>
      </left>
      <right style="thin">
        <color theme="0" tint="-0.34998626667073579"/>
      </right>
      <top/>
      <bottom/>
      <diagonal/>
    </border>
    <border>
      <left style="thin">
        <color indexed="64"/>
      </left>
      <right style="thin">
        <color indexed="64"/>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indexed="64"/>
      </bottom>
      <diagonal/>
    </border>
    <border>
      <left style="thin">
        <color indexed="64"/>
      </left>
      <right style="thin">
        <color indexed="64"/>
      </right>
      <top style="thin">
        <color theme="0" tint="-0.499984740745262"/>
      </top>
      <bottom style="thin">
        <color indexed="64"/>
      </bottom>
      <diagonal/>
    </border>
    <border>
      <left style="thin">
        <color theme="0" tint="-0.499984740745262"/>
      </left>
      <right style="thin">
        <color indexed="64"/>
      </right>
      <top style="thin">
        <color indexed="64"/>
      </top>
      <bottom style="thin">
        <color indexed="64"/>
      </bottom>
      <diagonal/>
    </border>
    <border>
      <left style="thin">
        <color theme="0" tint="-0.499984740745262"/>
      </left>
      <right style="thin">
        <color indexed="64"/>
      </right>
      <top style="thin">
        <color indexed="64"/>
      </top>
      <bottom style="thin">
        <color theme="0" tint="-0.499984740745262"/>
      </bottom>
      <diagonal/>
    </border>
    <border>
      <left style="thin">
        <color indexed="64"/>
      </left>
      <right style="thin">
        <color indexed="64"/>
      </right>
      <top style="thin">
        <color indexed="64"/>
      </top>
      <bottom style="thin">
        <color theme="0" tint="-0.499984740745262"/>
      </bottom>
      <diagonal/>
    </border>
    <border>
      <left style="thin">
        <color indexed="64"/>
      </left>
      <right style="thin">
        <color theme="0" tint="-0.499984740745262"/>
      </right>
      <top style="thin">
        <color theme="0" tint="-0.499984740745262"/>
      </top>
      <bottom style="thin">
        <color indexed="64"/>
      </bottom>
      <diagonal/>
    </border>
    <border>
      <left style="thin">
        <color indexed="64"/>
      </left>
      <right style="thin">
        <color theme="0" tint="-0.499984740745262"/>
      </right>
      <top style="thin">
        <color indexed="64"/>
      </top>
      <bottom style="thin">
        <color indexed="64"/>
      </bottom>
      <diagonal/>
    </border>
    <border>
      <left style="thin">
        <color indexed="64"/>
      </left>
      <right style="thin">
        <color theme="0" tint="-0.499984740745262"/>
      </right>
      <top style="thin">
        <color indexed="64"/>
      </top>
      <bottom style="thin">
        <color theme="0" tint="-0.499984740745262"/>
      </bottom>
      <diagonal/>
    </border>
    <border>
      <left/>
      <right style="thin">
        <color indexed="64"/>
      </right>
      <top style="thin">
        <color theme="0" tint="-0.499984740745262"/>
      </top>
      <bottom style="thin">
        <color indexed="64"/>
      </bottom>
      <diagonal/>
    </border>
    <border>
      <left/>
      <right style="thin">
        <color indexed="64"/>
      </right>
      <top style="thin">
        <color indexed="64"/>
      </top>
      <bottom style="thin">
        <color theme="0" tint="-0.499984740745262"/>
      </bottom>
      <diagonal/>
    </border>
    <border>
      <left style="thin">
        <color theme="0" tint="-0.34998626667073579"/>
      </left>
      <right style="double">
        <color theme="0" tint="-0.499984740745262"/>
      </right>
      <top style="thin">
        <color theme="0" tint="-0.34998626667073579"/>
      </top>
      <bottom style="double">
        <color theme="1" tint="0.34998626667073579"/>
      </bottom>
      <diagonal/>
    </border>
    <border>
      <left style="thin">
        <color theme="0" tint="-0.34998626667073579"/>
      </left>
      <right style="thin">
        <color theme="0" tint="-0.34998626667073579"/>
      </right>
      <top style="thin">
        <color theme="0" tint="-0.34998626667073579"/>
      </top>
      <bottom style="double">
        <color theme="1" tint="0.34998626667073579"/>
      </bottom>
      <diagonal/>
    </border>
    <border>
      <left style="thin">
        <color theme="0" tint="-0.34998626667073579"/>
      </left>
      <right style="double">
        <color theme="0" tint="-0.499984740745262"/>
      </right>
      <top style="thin">
        <color theme="0" tint="-0.499984740745262"/>
      </top>
      <bottom style="thin">
        <color theme="0" tint="-0.34998626667073579"/>
      </bottom>
      <diagonal/>
    </border>
    <border>
      <left style="thin">
        <color theme="0" tint="-0.499984740745262"/>
      </left>
      <right style="thin">
        <color theme="0" tint="-0.34998626667073579"/>
      </right>
      <top style="thin">
        <color theme="0" tint="-0.34998626667073579"/>
      </top>
      <bottom style="double">
        <color theme="1" tint="0.34998626667073579"/>
      </bottom>
      <diagonal/>
    </border>
    <border>
      <left style="thin">
        <color theme="0"/>
      </left>
      <right/>
      <top/>
      <bottom style="thin">
        <color theme="0" tint="-0.499984740745262"/>
      </bottom>
      <diagonal/>
    </border>
    <border>
      <left/>
      <right style="thin">
        <color theme="0" tint="-0.34998626667073579"/>
      </right>
      <top style="thin">
        <color theme="0" tint="-0.499984740745262"/>
      </top>
      <bottom style="thin">
        <color theme="0" tint="-0.499984740745262"/>
      </bottom>
      <diagonal/>
    </border>
    <border>
      <left style="thin">
        <color theme="0" tint="-0.34998626667073579"/>
      </left>
      <right style="thin">
        <color theme="0" tint="-0.34998626667073579"/>
      </right>
      <top style="thin">
        <color theme="0" tint="-0.34998626667073579"/>
      </top>
      <bottom style="double">
        <color theme="1" tint="0.499984740745262"/>
      </bottom>
      <diagonal/>
    </border>
    <border>
      <left style="thin">
        <color theme="0" tint="-0.34998626667073579"/>
      </left>
      <right style="thin">
        <color theme="0" tint="-0.34998626667073579"/>
      </right>
      <top style="double">
        <color theme="1" tint="0.499984740745262"/>
      </top>
      <bottom style="thin">
        <color theme="0" tint="-0.34998626667073579"/>
      </bottom>
      <diagonal/>
    </border>
    <border>
      <left style="thin">
        <color theme="0" tint="-0.34998626667073579"/>
      </left>
      <right style="thin">
        <color indexed="64"/>
      </right>
      <top style="thin">
        <color theme="0" tint="-0.499984740745262"/>
      </top>
      <bottom style="thin">
        <color theme="0" tint="-0.499984740745262"/>
      </bottom>
      <diagonal/>
    </border>
    <border>
      <left style="thin">
        <color indexed="64"/>
      </left>
      <right style="thin">
        <color theme="0" tint="-0.34998626667073579"/>
      </right>
      <top style="thin">
        <color theme="0" tint="-0.499984740745262"/>
      </top>
      <bottom style="thin">
        <color theme="0" tint="-0.499984740745262"/>
      </bottom>
      <diagonal/>
    </border>
    <border>
      <left style="thin">
        <color theme="0" tint="-0.34998626667073579"/>
      </left>
      <right style="thin">
        <color indexed="64"/>
      </right>
      <top style="thin">
        <color theme="0" tint="-0.499984740745262"/>
      </top>
      <bottom style="thin">
        <color theme="0" tint="-0.34998626667073579"/>
      </bottom>
      <diagonal/>
    </border>
    <border>
      <left style="thin">
        <color indexed="64"/>
      </left>
      <right style="thin">
        <color indexed="64"/>
      </right>
      <top style="thin">
        <color theme="0" tint="-0.499984740745262"/>
      </top>
      <bottom style="thin">
        <color theme="0" tint="-0.34998626667073579"/>
      </bottom>
      <diagonal/>
    </border>
    <border>
      <left style="thin">
        <color indexed="64"/>
      </left>
      <right style="thin">
        <color theme="0" tint="-0.34998626667073579"/>
      </right>
      <top style="thin">
        <color theme="0" tint="-0.499984740745262"/>
      </top>
      <bottom style="thin">
        <color theme="0" tint="-0.34998626667073579"/>
      </bottom>
      <diagonal/>
    </border>
    <border>
      <left style="thin">
        <color theme="0" tint="-0.34998626667073579"/>
      </left>
      <right/>
      <top style="thin">
        <color theme="0" tint="-0.499984740745262"/>
      </top>
      <bottom/>
      <diagonal/>
    </border>
    <border>
      <left/>
      <right style="thin">
        <color theme="0" tint="-0.34998626667073579"/>
      </right>
      <top style="thin">
        <color theme="0" tint="-0.499984740745262"/>
      </top>
      <bottom/>
      <diagonal/>
    </border>
    <border>
      <left style="thin">
        <color theme="0" tint="-0.34998626667073579"/>
      </left>
      <right style="thin">
        <color theme="0" tint="-0.34998626667073579"/>
      </right>
      <top style="thin">
        <color theme="0" tint="-0.499984740745262"/>
      </top>
      <bottom/>
      <diagonal/>
    </border>
    <border>
      <left style="thin">
        <color theme="0" tint="-0.34998626667073579"/>
      </left>
      <right style="thin">
        <color indexed="64"/>
      </right>
      <top style="thin">
        <color theme="0" tint="-0.34998626667073579"/>
      </top>
      <bottom style="thin">
        <color theme="0" tint="-0.499984740745262"/>
      </bottom>
      <diagonal/>
    </border>
    <border>
      <left style="thin">
        <color indexed="64"/>
      </left>
      <right style="thin">
        <color indexed="64"/>
      </right>
      <top style="thin">
        <color theme="0" tint="-0.34998626667073579"/>
      </top>
      <bottom style="thin">
        <color theme="0" tint="-0.499984740745262"/>
      </bottom>
      <diagonal/>
    </border>
    <border>
      <left style="thin">
        <color indexed="64"/>
      </left>
      <right style="thin">
        <color theme="0" tint="-0.34998626667073579"/>
      </right>
      <top style="thin">
        <color theme="0" tint="-0.34998626667073579"/>
      </top>
      <bottom style="thin">
        <color theme="0" tint="-0.499984740745262"/>
      </bottom>
      <diagonal/>
    </border>
    <border>
      <left/>
      <right/>
      <top style="thin">
        <color theme="0" tint="-0.34998626667073579"/>
      </top>
      <bottom style="thin">
        <color theme="0" tint="-0.499984740745262"/>
      </bottom>
      <diagonal/>
    </border>
    <border>
      <left style="thin">
        <color theme="0" tint="-0.34998626667073579"/>
      </left>
      <right/>
      <top style="thin">
        <color theme="0" tint="-0.499984740745262"/>
      </top>
      <bottom style="thin">
        <color theme="0" tint="-0.499984740745262"/>
      </bottom>
      <diagonal/>
    </border>
    <border>
      <left/>
      <right/>
      <top style="thin">
        <color theme="0" tint="-0.499984740745262"/>
      </top>
      <bottom style="thin">
        <color theme="0" tint="-0.34998626667073579"/>
      </bottom>
      <diagonal/>
    </border>
    <border>
      <left style="thin">
        <color theme="0" tint="-0.34998626667073579"/>
      </left>
      <right/>
      <top style="thin">
        <color indexed="64"/>
      </top>
      <bottom style="thin">
        <color theme="0" tint="-0.34998626667073579"/>
      </bottom>
      <diagonal/>
    </border>
    <border>
      <left style="double">
        <color theme="0" tint="-0.34998626667073579"/>
      </left>
      <right/>
      <top style="thin">
        <color theme="0" tint="-0.34998626667073579"/>
      </top>
      <bottom style="thin">
        <color theme="0" tint="-0.34998626667073579"/>
      </bottom>
      <diagonal/>
    </border>
    <border>
      <left/>
      <right style="double">
        <color theme="0" tint="-0.34998626667073579"/>
      </right>
      <top style="thin">
        <color theme="0" tint="-0.34998626667073579"/>
      </top>
      <bottom style="thin">
        <color theme="0" tint="-0.34998626667073579"/>
      </bottom>
      <diagonal/>
    </border>
    <border>
      <left style="double">
        <color theme="0" tint="-0.34998626667073579"/>
      </left>
      <right/>
      <top style="thin">
        <color theme="0" tint="-0.34998626667073579"/>
      </top>
      <bottom style="double">
        <color theme="0" tint="-0.34998626667073579"/>
      </bottom>
      <diagonal/>
    </border>
    <border>
      <left/>
      <right style="double">
        <color theme="0" tint="-0.34998626667073579"/>
      </right>
      <top style="thin">
        <color theme="0" tint="-0.34998626667073579"/>
      </top>
      <bottom style="double">
        <color theme="0" tint="-0.34998626667073579"/>
      </bottom>
      <diagonal/>
    </border>
    <border>
      <left style="thin">
        <color theme="1"/>
      </left>
      <right style="thin">
        <color theme="1"/>
      </right>
      <top style="thin">
        <color theme="1"/>
      </top>
      <bottom/>
      <diagonal/>
    </border>
    <border>
      <left style="thin">
        <color theme="1"/>
      </left>
      <right/>
      <top style="thin">
        <color theme="1"/>
      </top>
      <bottom style="thin">
        <color theme="1"/>
      </bottom>
      <diagonal/>
    </border>
    <border>
      <left style="thin">
        <color theme="0" tint="-0.34998626667073579"/>
      </left>
      <right style="thin">
        <color theme="0" tint="-0.34998626667073579"/>
      </right>
      <top style="thin">
        <color theme="0" tint="-0.34998626667073579"/>
      </top>
      <bottom style="thin">
        <color theme="0" tint="-0.499984740745262"/>
      </bottom>
      <diagonal/>
    </border>
    <border>
      <left style="thin">
        <color theme="1"/>
      </left>
      <right/>
      <top style="thin">
        <color theme="1"/>
      </top>
      <bottom style="thin">
        <color indexed="64"/>
      </bottom>
      <diagonal/>
    </border>
    <border>
      <left style="double">
        <color theme="1" tint="0.499984740745262"/>
      </left>
      <right style="double">
        <color theme="1" tint="0.499984740745262"/>
      </right>
      <top style="double">
        <color theme="1" tint="0.499984740745262"/>
      </top>
      <bottom style="double">
        <color theme="1" tint="0.499984740745262"/>
      </bottom>
      <diagonal/>
    </border>
    <border>
      <left style="thin">
        <color theme="0" tint="-0.34998626667073579"/>
      </left>
      <right style="thin">
        <color theme="0" tint="-0.499984740745262"/>
      </right>
      <top style="thin">
        <color theme="0" tint="-0.499984740745262"/>
      </top>
      <bottom style="thin">
        <color theme="0" tint="-0.499984740745262"/>
      </bottom>
      <diagonal/>
    </border>
    <border>
      <left style="thin">
        <color theme="0" tint="-0.34998626667073579"/>
      </left>
      <right style="double">
        <color theme="1" tint="0.499984740745262"/>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34998626667073579"/>
      </bottom>
      <diagonal/>
    </border>
    <border>
      <left/>
      <right style="thin">
        <color theme="0" tint="-0.499984740745262"/>
      </right>
      <top style="thin">
        <color theme="0" tint="-0.499984740745262"/>
      </top>
      <bottom style="thin">
        <color theme="0" tint="-0.34998626667073579"/>
      </bottom>
      <diagonal/>
    </border>
    <border>
      <left style="thin">
        <color theme="0" tint="-0.499984740745262"/>
      </left>
      <right/>
      <top style="thin">
        <color theme="0" tint="-0.34998626667073579"/>
      </top>
      <bottom style="thin">
        <color theme="0" tint="-0.34998626667073579"/>
      </bottom>
      <diagonal/>
    </border>
    <border>
      <left/>
      <right style="thin">
        <color theme="0" tint="-0.499984740745262"/>
      </right>
      <top style="thin">
        <color theme="0" tint="-0.34998626667073579"/>
      </top>
      <bottom style="thin">
        <color theme="0" tint="-0.34998626667073579"/>
      </bottom>
      <diagonal/>
    </border>
    <border>
      <left style="thin">
        <color theme="0" tint="-0.499984740745262"/>
      </left>
      <right/>
      <top style="thin">
        <color theme="0" tint="-0.34998626667073579"/>
      </top>
      <bottom style="thin">
        <color theme="0" tint="-0.499984740745262"/>
      </bottom>
      <diagonal/>
    </border>
    <border>
      <left/>
      <right style="thin">
        <color theme="0" tint="-0.499984740745262"/>
      </right>
      <top style="thin">
        <color theme="0" tint="-0.34998626667073579"/>
      </top>
      <bottom style="thin">
        <color theme="0" tint="-0.499984740745262"/>
      </bottom>
      <diagonal/>
    </border>
    <border>
      <left style="double">
        <color theme="1" tint="0.34998626667073579"/>
      </left>
      <right style="thin">
        <color theme="0" tint="-0.34998626667073579"/>
      </right>
      <top style="double">
        <color theme="1" tint="0.34998626667073579"/>
      </top>
      <bottom style="double">
        <color theme="1" tint="0.34998626667073579"/>
      </bottom>
      <diagonal/>
    </border>
    <border>
      <left style="thin">
        <color theme="0" tint="-0.34998626667073579"/>
      </left>
      <right style="thin">
        <color theme="0" tint="-0.34998626667073579"/>
      </right>
      <top style="double">
        <color theme="1" tint="0.34998626667073579"/>
      </top>
      <bottom style="double">
        <color theme="1" tint="0.34998626667073579"/>
      </bottom>
      <diagonal/>
    </border>
    <border>
      <left style="thin">
        <color theme="0" tint="-0.34998626667073579"/>
      </left>
      <right style="thin">
        <color theme="0" tint="-0.34998626667073579"/>
      </right>
      <top/>
      <bottom style="double">
        <color theme="1" tint="0.34998626667073579"/>
      </bottom>
      <diagonal/>
    </border>
    <border>
      <left style="thin">
        <color theme="0" tint="-0.34998626667073579"/>
      </left>
      <right style="double">
        <color theme="0" tint="-0.499984740745262"/>
      </right>
      <top/>
      <bottom style="double">
        <color theme="1" tint="0.34998626667073579"/>
      </bottom>
      <diagonal/>
    </border>
    <border>
      <left style="double">
        <color theme="0" tint="-0.499984740745262"/>
      </left>
      <right/>
      <top style="double">
        <color theme="0" tint="-0.499984740745262"/>
      </top>
      <bottom style="thin">
        <color theme="0" tint="-0.34998626667073579"/>
      </bottom>
      <diagonal/>
    </border>
    <border>
      <left/>
      <right style="double">
        <color theme="0" tint="-0.499984740745262"/>
      </right>
      <top style="double">
        <color theme="0" tint="-0.499984740745262"/>
      </top>
      <bottom style="thin">
        <color theme="0" tint="-0.34998626667073579"/>
      </bottom>
      <diagonal/>
    </border>
    <border>
      <left style="double">
        <color theme="0" tint="-0.499984740745262"/>
      </left>
      <right/>
      <top style="thin">
        <color theme="0" tint="-0.34998626667073579"/>
      </top>
      <bottom style="thin">
        <color theme="0" tint="-0.34998626667073579"/>
      </bottom>
      <diagonal/>
    </border>
    <border>
      <left/>
      <right style="double">
        <color theme="0" tint="-0.499984740745262"/>
      </right>
      <top style="thin">
        <color theme="0" tint="-0.34998626667073579"/>
      </top>
      <bottom style="thin">
        <color theme="0" tint="-0.34998626667073579"/>
      </bottom>
      <diagonal/>
    </border>
    <border>
      <left/>
      <right style="double">
        <color theme="0" tint="-0.499984740745262"/>
      </right>
      <top style="thin">
        <color theme="0" tint="-0.34998626667073579"/>
      </top>
      <bottom style="double">
        <color theme="1" tint="0.34998626667073579"/>
      </bottom>
      <diagonal/>
    </border>
    <border>
      <left/>
      <right/>
      <top style="thin">
        <color theme="0" tint="-0.34998626667073579"/>
      </top>
      <bottom style="double">
        <color theme="1" tint="0.34998626667073579"/>
      </bottom>
      <diagonal/>
    </border>
    <border>
      <left style="double">
        <color auto="1"/>
      </left>
      <right style="thin">
        <color theme="0" tint="-0.34998626667073579"/>
      </right>
      <top style="double">
        <color auto="1"/>
      </top>
      <bottom style="double">
        <color auto="1"/>
      </bottom>
      <diagonal/>
    </border>
    <border>
      <left style="thin">
        <color theme="0" tint="-0.34998626667073579"/>
      </left>
      <right style="thin">
        <color theme="0" tint="-0.34998626667073579"/>
      </right>
      <top style="double">
        <color auto="1"/>
      </top>
      <bottom style="double">
        <color auto="1"/>
      </bottom>
      <diagonal/>
    </border>
    <border>
      <left style="thin">
        <color theme="0" tint="-0.34998626667073579"/>
      </left>
      <right style="double">
        <color auto="1"/>
      </right>
      <top style="double">
        <color auto="1"/>
      </top>
      <bottom style="double">
        <color auto="1"/>
      </bottom>
      <diagonal/>
    </border>
    <border>
      <left style="thin">
        <color theme="0" tint="-0.499984740745262"/>
      </left>
      <right style="thin">
        <color theme="0" tint="-0.34998626667073579"/>
      </right>
      <top style="double">
        <color theme="0" tint="-0.499984740745262"/>
      </top>
      <bottom style="thin">
        <color theme="0" tint="-0.34998626667073579"/>
      </bottom>
      <diagonal/>
    </border>
    <border>
      <left style="thin">
        <color theme="0" tint="-0.499984740745262"/>
      </left>
      <right style="thin">
        <color theme="0" tint="-0.34998626667073579"/>
      </right>
      <top style="thin">
        <color theme="0" tint="-0.34998626667073579"/>
      </top>
      <bottom style="double">
        <color theme="1" tint="0.499984740745262"/>
      </bottom>
      <diagonal/>
    </border>
    <border>
      <left style="double">
        <color theme="0" tint="-0.499984740745262"/>
      </left>
      <right style="thin">
        <color theme="0" tint="-0.34998626667073579"/>
      </right>
      <top style="thin">
        <color theme="0" tint="-0.499984740745262"/>
      </top>
      <bottom style="thin">
        <color theme="0" tint="-0.34998626667073579"/>
      </bottom>
      <diagonal/>
    </border>
    <border>
      <left style="thin">
        <color theme="0" tint="-0.34998626667073579"/>
      </left>
      <right style="thin">
        <color theme="0" tint="-0.499984740745262"/>
      </right>
      <top style="thin">
        <color theme="0" tint="-0.499984740745262"/>
      </top>
      <bottom style="thin">
        <color theme="0" tint="-0.34998626667073579"/>
      </bottom>
      <diagonal/>
    </border>
    <border>
      <left style="thin">
        <color theme="0" tint="-0.34998626667073579"/>
      </left>
      <right style="thin">
        <color theme="0" tint="-0.499984740745262"/>
      </right>
      <top/>
      <bottom style="thin">
        <color theme="0" tint="-0.34998626667073579"/>
      </bottom>
      <diagonal/>
    </border>
    <border>
      <left style="thin">
        <color theme="0" tint="-0.34998626667073579"/>
      </left>
      <right style="thin">
        <color theme="0" tint="-0.499984740745262"/>
      </right>
      <top style="thin">
        <color theme="0" tint="-0.34998626667073579"/>
      </top>
      <bottom style="thin">
        <color theme="0" tint="-0.34998626667073579"/>
      </bottom>
      <diagonal/>
    </border>
    <border>
      <left style="thin">
        <color theme="0" tint="-0.34998626667073579"/>
      </left>
      <right style="thin">
        <color theme="0" tint="-0.499984740745262"/>
      </right>
      <top style="thin">
        <color theme="0" tint="-0.34998626667073579"/>
      </top>
      <bottom style="double">
        <color theme="1" tint="0.499984740745262"/>
      </bottom>
      <diagonal/>
    </border>
    <border>
      <left style="thin">
        <color theme="0" tint="-0.34998626667073579"/>
      </left>
      <right style="thin">
        <color theme="0" tint="-0.499984740745262"/>
      </right>
      <top style="double">
        <color theme="1" tint="0.499984740745262"/>
      </top>
      <bottom style="thin">
        <color theme="0" tint="-0.34998626667073579"/>
      </bottom>
      <diagonal/>
    </border>
    <border>
      <left style="double">
        <color theme="1" tint="0.499984740745262"/>
      </left>
      <right/>
      <top style="thin">
        <color theme="0" tint="-0.34998626667073579"/>
      </top>
      <bottom style="thin">
        <color theme="0" tint="-0.34998626667073579"/>
      </bottom>
      <diagonal/>
    </border>
    <border>
      <left style="double">
        <color theme="1" tint="0.499984740745262"/>
      </left>
      <right style="double">
        <color theme="1" tint="0.499984740745262"/>
      </right>
      <top style="thin">
        <color theme="0" tint="-0.34998626667073579"/>
      </top>
      <bottom style="double">
        <color theme="1" tint="0.499984740745262"/>
      </bottom>
      <diagonal/>
    </border>
    <border>
      <left style="double">
        <color theme="1" tint="0.499984740745262"/>
      </left>
      <right style="double">
        <color theme="1" tint="0.499984740745262"/>
      </right>
      <top style="thin">
        <color theme="0" tint="-0.34998626667073579"/>
      </top>
      <bottom style="thin">
        <color theme="0" tint="-0.34998626667073579"/>
      </bottom>
      <diagonal/>
    </border>
    <border>
      <left style="double">
        <color theme="1" tint="0.499984740745262"/>
      </left>
      <right/>
      <top/>
      <bottom style="thin">
        <color theme="0" tint="-0.34998626667073579"/>
      </bottom>
      <diagonal/>
    </border>
    <border>
      <left style="double">
        <color theme="1" tint="0.499984740745262"/>
      </left>
      <right/>
      <top style="thin">
        <color theme="0" tint="-0.34998626667073579"/>
      </top>
      <bottom style="double">
        <color theme="1" tint="0.499984740745262"/>
      </bottom>
      <diagonal/>
    </border>
    <border>
      <left style="double">
        <color theme="1" tint="0.499984740745262"/>
      </left>
      <right style="thin">
        <color theme="0" tint="-0.34998626667073579"/>
      </right>
      <top style="double">
        <color theme="1" tint="0.499984740745262"/>
      </top>
      <bottom style="thin">
        <color theme="0" tint="-0.34998626667073579"/>
      </bottom>
      <diagonal/>
    </border>
    <border>
      <left style="thin">
        <color theme="0" tint="-0.34998626667073579"/>
      </left>
      <right style="double">
        <color theme="1" tint="0.499984740745262"/>
      </right>
      <top style="double">
        <color theme="1" tint="0.499984740745262"/>
      </top>
      <bottom style="thin">
        <color theme="0" tint="-0.34998626667073579"/>
      </bottom>
      <diagonal/>
    </border>
    <border>
      <left style="thin">
        <color theme="0" tint="-0.34998626667073579"/>
      </left>
      <right style="double">
        <color theme="1" tint="0.499984740745262"/>
      </right>
      <top style="thin">
        <color theme="0" tint="-0.34998626667073579"/>
      </top>
      <bottom style="double">
        <color theme="1" tint="0.499984740745262"/>
      </bottom>
      <diagonal/>
    </border>
    <border>
      <left/>
      <right style="double">
        <color theme="1" tint="0.499984740745262"/>
      </right>
      <top style="thin">
        <color theme="0" tint="-0.34998626667073579"/>
      </top>
      <bottom/>
      <diagonal/>
    </border>
    <border>
      <left style="thin">
        <color theme="0" tint="-0.499984740745262"/>
      </left>
      <right/>
      <top style="thin">
        <color theme="0" tint="-0.34998626667073579"/>
      </top>
      <bottom style="double">
        <color theme="1" tint="0.34998626667073579"/>
      </bottom>
      <diagonal/>
    </border>
    <border>
      <left/>
      <right style="thin">
        <color theme="0" tint="-0.34998626667073579"/>
      </right>
      <top style="thin">
        <color theme="0" tint="-0.34998626667073579"/>
      </top>
      <bottom style="double">
        <color theme="1" tint="0.34998626667073579"/>
      </bottom>
      <diagonal/>
    </border>
    <border>
      <left style="thin">
        <color theme="0" tint="-0.34998626667073579"/>
      </left>
      <right/>
      <top style="thin">
        <color theme="0" tint="-0.34998626667073579"/>
      </top>
      <bottom style="double">
        <color theme="1" tint="0.34998626667073579"/>
      </bottom>
      <diagonal/>
    </border>
    <border>
      <left style="double">
        <color theme="0" tint="-0.34998626667073579"/>
      </left>
      <right style="double">
        <color theme="0" tint="-0.34998626667073579"/>
      </right>
      <top style="thin">
        <color theme="0" tint="-0.34998626667073579"/>
      </top>
      <bottom style="thin">
        <color theme="0" tint="-0.499984740745262"/>
      </bottom>
      <diagonal/>
    </border>
    <border>
      <left style="double">
        <color theme="0" tint="-0.34998626667073579"/>
      </left>
      <right style="double">
        <color theme="0" tint="-0.34998626667073579"/>
      </right>
      <top style="thin">
        <color theme="0" tint="-0.499984740745262"/>
      </top>
      <bottom style="thin">
        <color theme="0" tint="-0.499984740745262"/>
      </bottom>
      <diagonal/>
    </border>
    <border>
      <left style="thin">
        <color theme="0" tint="-0.499984740745262"/>
      </left>
      <right style="thin">
        <color theme="0" tint="-0.34998626667073579"/>
      </right>
      <top style="thin">
        <color theme="0" tint="-0.499984740745262"/>
      </top>
      <bottom style="thin">
        <color theme="0" tint="-0.499984740745262"/>
      </bottom>
      <diagonal/>
    </border>
    <border>
      <left style="thin">
        <color theme="0" tint="-0.34998626667073579"/>
      </left>
      <right style="thin">
        <color theme="0" tint="-0.34998626667073579"/>
      </right>
      <top style="double">
        <color theme="1" tint="0.499984740745262"/>
      </top>
      <bottom/>
      <diagonal/>
    </border>
    <border>
      <left style="thin">
        <color theme="0" tint="-0.34998626667073579"/>
      </left>
      <right style="thin">
        <color theme="0" tint="-0.34998626667073579"/>
      </right>
      <top style="double">
        <color theme="0" tint="-0.499984740745262"/>
      </top>
      <bottom style="double">
        <color theme="0" tint="-0.499984740745262"/>
      </bottom>
      <diagonal/>
    </border>
    <border>
      <left style="double">
        <color theme="1" tint="0.499984740745262"/>
      </left>
      <right style="thin">
        <color theme="0" tint="-0.34998626667073579"/>
      </right>
      <top style="double">
        <color theme="1" tint="0.499984740745262"/>
      </top>
      <bottom/>
      <diagonal/>
    </border>
    <border>
      <left style="thin">
        <color theme="0" tint="-0.34998626667073579"/>
      </left>
      <right style="double">
        <color theme="0" tint="-0.499984740745262"/>
      </right>
      <top style="double">
        <color theme="0" tint="-0.499984740745262"/>
      </top>
      <bottom style="double">
        <color theme="0" tint="-0.499984740745262"/>
      </bottom>
      <diagonal/>
    </border>
    <border>
      <left style="double">
        <color theme="1" tint="0.499984740745262"/>
      </left>
      <right style="thin">
        <color theme="0" tint="-0.34998626667073579"/>
      </right>
      <top style="double">
        <color theme="0" tint="-0.499984740745262"/>
      </top>
      <bottom style="double">
        <color theme="0" tint="-0.499984740745262"/>
      </bottom>
      <diagonal/>
    </border>
    <border>
      <left style="thin">
        <color theme="0" tint="-0.34998626667073579"/>
      </left>
      <right style="double">
        <color theme="0" tint="-0.499984740745262"/>
      </right>
      <top style="double">
        <color theme="1" tint="0.499984740745262"/>
      </top>
      <bottom style="double">
        <color theme="1" tint="0.499984740745262"/>
      </bottom>
      <diagonal/>
    </border>
    <border>
      <left style="thin">
        <color theme="0" tint="-0.34998626667073579"/>
      </left>
      <right style="double">
        <color theme="0" tint="-0.499984740745262"/>
      </right>
      <top style="double">
        <color theme="1" tint="0.499984740745262"/>
      </top>
      <bottom/>
      <diagonal/>
    </border>
    <border>
      <left style="thin">
        <color theme="0" tint="-0.34998626667073579"/>
      </left>
      <right/>
      <top style="double">
        <color auto="1"/>
      </top>
      <bottom style="double">
        <color auto="1"/>
      </bottom>
      <diagonal/>
    </border>
    <border>
      <left/>
      <right style="thin">
        <color theme="0" tint="-0.34998626667073579"/>
      </right>
      <top style="double">
        <color auto="1"/>
      </top>
      <bottom style="double">
        <color auto="1"/>
      </bottom>
      <diagonal/>
    </border>
    <border>
      <left/>
      <right style="double">
        <color theme="0" tint="-0.34998626667073579"/>
      </right>
      <top style="thin">
        <color theme="0" tint="-0.34998626667073579"/>
      </top>
      <bottom style="thin">
        <color theme="1" tint="0.499984740745262"/>
      </bottom>
      <diagonal/>
    </border>
    <border>
      <left style="thin">
        <color theme="0" tint="-0.34998626667073579"/>
      </left>
      <right style="double">
        <color theme="0" tint="-0.34998626667073579"/>
      </right>
      <top style="thin">
        <color theme="0" tint="-0.499984740745262"/>
      </top>
      <bottom style="thin">
        <color theme="0" tint="-0.499984740745262"/>
      </bottom>
      <diagonal/>
    </border>
    <border>
      <left style="thin">
        <color theme="1" tint="0.499984740745262"/>
      </left>
      <right style="thin">
        <color theme="0" tint="-0.34998626667073579"/>
      </right>
      <top style="double">
        <color theme="1" tint="0.499984740745262"/>
      </top>
      <bottom style="thin">
        <color theme="0" tint="-0.34998626667073579"/>
      </bottom>
      <diagonal/>
    </border>
    <border>
      <left style="thin">
        <color theme="0" tint="-0.34998626667073579"/>
      </left>
      <right style="thin">
        <color theme="1" tint="0.499984740745262"/>
      </right>
      <top style="thin">
        <color theme="0" tint="-0.34998626667073579"/>
      </top>
      <bottom style="thin">
        <color theme="0" tint="-0.34998626667073579"/>
      </bottom>
      <diagonal/>
    </border>
    <border>
      <left style="thin">
        <color theme="1" tint="0.499984740745262"/>
      </left>
      <right style="thin">
        <color theme="0" tint="-0.34998626667073579"/>
      </right>
      <top style="thin">
        <color theme="0" tint="-0.34998626667073579"/>
      </top>
      <bottom style="double">
        <color theme="1" tint="0.499984740745262"/>
      </bottom>
      <diagonal/>
    </border>
    <border>
      <left style="thin">
        <color theme="0" tint="-0.34998626667073579"/>
      </left>
      <right style="thin">
        <color theme="1" tint="0.499984740745262"/>
      </right>
      <top style="thin">
        <color theme="0" tint="-0.34998626667073579"/>
      </top>
      <bottom style="double">
        <color theme="1" tint="0.499984740745262"/>
      </bottom>
      <diagonal/>
    </border>
    <border>
      <left style="double">
        <color theme="0" tint="-0.34998626667073579"/>
      </left>
      <right style="double">
        <color theme="0" tint="-0.34998626667073579"/>
      </right>
      <top style="thin">
        <color theme="0" tint="-0.34998626667073579"/>
      </top>
      <bottom/>
      <diagonal/>
    </border>
    <border>
      <left style="double">
        <color theme="0" tint="-0.34998626667073579"/>
      </left>
      <right/>
      <top/>
      <bottom style="thin">
        <color theme="0" tint="-0.34998626667073579"/>
      </bottom>
      <diagonal/>
    </border>
    <border>
      <left style="double">
        <color theme="0" tint="-0.34998626667073579"/>
      </left>
      <right style="thin">
        <color theme="0" tint="-0.34998626667073579"/>
      </right>
      <top style="thin">
        <color indexed="64"/>
      </top>
      <bottom style="thin">
        <color theme="0" tint="-0.34998626667073579"/>
      </bottom>
      <diagonal/>
    </border>
    <border>
      <left style="double">
        <color theme="0" tint="-0.34998626667073579"/>
      </left>
      <right style="thin">
        <color theme="0" tint="-0.34998626667073579"/>
      </right>
      <top style="thin">
        <color theme="0" tint="-0.34998626667073579"/>
      </top>
      <bottom style="thin">
        <color theme="0" tint="-0.34998626667073579"/>
      </bottom>
      <diagonal/>
    </border>
    <border>
      <left style="double">
        <color theme="0" tint="-0.34998626667073579"/>
      </left>
      <right style="double">
        <color theme="0" tint="-0.34998626667073579"/>
      </right>
      <top style="thin">
        <color theme="0" tint="-0.34998626667073579"/>
      </top>
      <bottom style="double">
        <color theme="0" tint="-0.499984740745262"/>
      </bottom>
      <diagonal/>
    </border>
    <border>
      <left style="thin">
        <color theme="0" tint="-0.34998626667073579"/>
      </left>
      <right style="double">
        <color theme="0" tint="-0.34998626667073579"/>
      </right>
      <top style="thin">
        <color indexed="64"/>
      </top>
      <bottom style="thin">
        <color theme="0" tint="-0.34998626667073579"/>
      </bottom>
      <diagonal/>
    </border>
    <border>
      <left style="thin">
        <color theme="0" tint="-0.34998626667073579"/>
      </left>
      <right style="double">
        <color theme="0" tint="-0.34998626667073579"/>
      </right>
      <top style="thin">
        <color theme="0" tint="-0.34998626667073579"/>
      </top>
      <bottom style="thin">
        <color theme="0" tint="-0.34998626667073579"/>
      </bottom>
      <diagonal/>
    </border>
    <border>
      <left style="thin">
        <color theme="0" tint="-0.34998626667073579"/>
      </left>
      <right style="double">
        <color theme="0" tint="-0.34998626667073579"/>
      </right>
      <top style="thin">
        <color theme="0" tint="-0.34998626667073579"/>
      </top>
      <bottom style="thin">
        <color theme="0" tint="-0.499984740745262"/>
      </bottom>
      <diagonal/>
    </border>
    <border>
      <left style="double">
        <color theme="0" tint="-0.34998626667073579"/>
      </left>
      <right/>
      <top/>
      <bottom/>
      <diagonal/>
    </border>
    <border>
      <left style="double">
        <color auto="1"/>
      </left>
      <right style="thin">
        <color theme="0" tint="-0.499984740745262"/>
      </right>
      <top style="double">
        <color auto="1"/>
      </top>
      <bottom style="double">
        <color auto="1"/>
      </bottom>
      <diagonal/>
    </border>
    <border>
      <left style="thin">
        <color theme="0" tint="-0.499984740745262"/>
      </left>
      <right style="thin">
        <color theme="0" tint="-0.499984740745262"/>
      </right>
      <top style="double">
        <color auto="1"/>
      </top>
      <bottom style="double">
        <color auto="1"/>
      </bottom>
      <diagonal/>
    </border>
    <border>
      <left style="thin">
        <color theme="0" tint="-0.499984740745262"/>
      </left>
      <right style="double">
        <color auto="1"/>
      </right>
      <top style="double">
        <color auto="1"/>
      </top>
      <bottom style="double">
        <color auto="1"/>
      </bottom>
      <diagonal/>
    </border>
    <border>
      <left style="thin">
        <color theme="0" tint="-0.34998626667073579"/>
      </left>
      <right style="thin">
        <color indexed="64"/>
      </right>
      <top style="thin">
        <color theme="0" tint="-0.499984740745262"/>
      </top>
      <bottom/>
      <diagonal/>
    </border>
    <border>
      <left style="thin">
        <color indexed="64"/>
      </left>
      <right style="thin">
        <color indexed="64"/>
      </right>
      <top style="thin">
        <color theme="0" tint="-0.499984740745262"/>
      </top>
      <bottom/>
      <diagonal/>
    </border>
    <border>
      <left style="thin">
        <color indexed="64"/>
      </left>
      <right style="thin">
        <color theme="0" tint="-0.34998626667073579"/>
      </right>
      <top style="thin">
        <color theme="0" tint="-0.499984740745262"/>
      </top>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indexed="64"/>
      </bottom>
      <diagonal/>
    </border>
    <border>
      <left/>
      <right style="thin">
        <color theme="0"/>
      </right>
      <top/>
      <bottom style="thin">
        <color indexed="64"/>
      </bottom>
      <diagonal/>
    </border>
    <border>
      <left style="thin">
        <color theme="0"/>
      </left>
      <right style="thin">
        <color theme="0"/>
      </right>
      <top/>
      <bottom style="thin">
        <color indexed="64"/>
      </bottom>
      <diagonal/>
    </border>
    <border>
      <left style="thin">
        <color theme="0"/>
      </left>
      <right/>
      <top/>
      <bottom style="thin">
        <color indexed="64"/>
      </bottom>
      <diagonal/>
    </border>
    <border>
      <left style="thin">
        <color theme="1" tint="0.499984740745262"/>
      </left>
      <right style="thin">
        <color theme="0" tint="-0.34998626667073579"/>
      </right>
      <top style="thin">
        <color theme="1" tint="0.499984740745262"/>
      </top>
      <bottom style="thin">
        <color theme="0" tint="-0.34998626667073579"/>
      </bottom>
      <diagonal/>
    </border>
    <border>
      <left style="thin">
        <color theme="0" tint="-0.34998626667073579"/>
      </left>
      <right style="thin">
        <color theme="0" tint="-0.34998626667073579"/>
      </right>
      <top style="thin">
        <color theme="1" tint="0.499984740745262"/>
      </top>
      <bottom style="thin">
        <color theme="0" tint="-0.34998626667073579"/>
      </bottom>
      <diagonal/>
    </border>
    <border>
      <left style="thin">
        <color theme="0" tint="-0.34998626667073579"/>
      </left>
      <right style="thin">
        <color theme="1" tint="0.499984740745262"/>
      </right>
      <top style="thin">
        <color theme="1" tint="0.499984740745262"/>
      </top>
      <bottom style="thin">
        <color theme="0" tint="-0.34998626667073579"/>
      </bottom>
      <diagonal/>
    </border>
    <border>
      <left style="thin">
        <color theme="0" tint="-0.34998626667073579"/>
      </left>
      <right style="thin">
        <color theme="1" tint="0.499984740745262"/>
      </right>
      <top style="thin">
        <color theme="0" tint="-0.34998626667073579"/>
      </top>
      <bottom style="thin">
        <color theme="1" tint="0.499984740745262"/>
      </bottom>
      <diagonal/>
    </border>
    <border>
      <left/>
      <right/>
      <top style="thin">
        <color rgb="FF92D050"/>
      </top>
      <bottom/>
      <diagonal/>
    </border>
    <border>
      <left/>
      <right/>
      <top/>
      <bottom style="thin">
        <color rgb="FF92D050"/>
      </bottom>
      <diagonal/>
    </border>
    <border>
      <left style="thin">
        <color rgb="FF92D050"/>
      </left>
      <right/>
      <top style="thin">
        <color rgb="FF92D050"/>
      </top>
      <bottom/>
      <diagonal/>
    </border>
    <border>
      <left/>
      <right style="thin">
        <color rgb="FF92D050"/>
      </right>
      <top style="thin">
        <color rgb="FF92D050"/>
      </top>
      <bottom/>
      <diagonal/>
    </border>
    <border>
      <left style="thin">
        <color rgb="FF92D050"/>
      </left>
      <right/>
      <top/>
      <bottom/>
      <diagonal/>
    </border>
    <border>
      <left/>
      <right style="thin">
        <color rgb="FF92D050"/>
      </right>
      <top/>
      <bottom/>
      <diagonal/>
    </border>
    <border>
      <left style="thin">
        <color rgb="FF92D050"/>
      </left>
      <right/>
      <top/>
      <bottom style="thin">
        <color rgb="FF92D050"/>
      </bottom>
      <diagonal/>
    </border>
    <border>
      <left/>
      <right style="thin">
        <color rgb="FF92D050"/>
      </right>
      <top/>
      <bottom style="thin">
        <color rgb="FF92D050"/>
      </bottom>
      <diagonal/>
    </border>
    <border>
      <left/>
      <right style="medium">
        <color theme="0"/>
      </right>
      <top/>
      <bottom style="medium">
        <color theme="0"/>
      </bottom>
      <diagonal/>
    </border>
    <border>
      <left/>
      <right style="medium">
        <color theme="0"/>
      </right>
      <top style="medium">
        <color theme="0"/>
      </top>
      <bottom style="medium">
        <color theme="0"/>
      </bottom>
      <diagonal/>
    </border>
    <border>
      <left/>
      <right style="medium">
        <color theme="0"/>
      </right>
      <top style="medium">
        <color theme="0"/>
      </top>
      <bottom/>
      <diagonal/>
    </border>
    <border>
      <left style="medium">
        <color theme="0"/>
      </left>
      <right/>
      <top/>
      <bottom style="medium">
        <color theme="0"/>
      </bottom>
      <diagonal/>
    </border>
    <border>
      <left style="medium">
        <color theme="0"/>
      </left>
      <right/>
      <top style="medium">
        <color theme="0"/>
      </top>
      <bottom style="medium">
        <color theme="0"/>
      </bottom>
      <diagonal/>
    </border>
    <border>
      <left style="medium">
        <color theme="0"/>
      </left>
      <right/>
      <top style="medium">
        <color theme="0"/>
      </top>
      <bottom/>
      <diagonal/>
    </border>
    <border>
      <left style="medium">
        <color theme="0"/>
      </left>
      <right style="medium">
        <color theme="0"/>
      </right>
      <top style="medium">
        <color theme="0"/>
      </top>
      <bottom/>
      <diagonal/>
    </border>
    <border>
      <left style="medium">
        <color theme="0"/>
      </left>
      <right style="medium">
        <color theme="0"/>
      </right>
      <top/>
      <bottom style="medium">
        <color theme="0"/>
      </bottom>
      <diagonal/>
    </border>
    <border>
      <left style="thin">
        <color theme="0" tint="-0.34998626667073579"/>
      </left>
      <right/>
      <top style="double">
        <color theme="1" tint="0.34998626667073579"/>
      </top>
      <bottom style="double">
        <color theme="1" tint="0.34998626667073579"/>
      </bottom>
      <diagonal/>
    </border>
    <border>
      <left/>
      <right style="thin">
        <color theme="0" tint="-0.34998626667073579"/>
      </right>
      <top style="double">
        <color theme="1" tint="0.34998626667073579"/>
      </top>
      <bottom style="double">
        <color theme="1" tint="0.34998626667073579"/>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style="thin">
        <color theme="1" tint="0.24994659260841701"/>
      </left>
      <right/>
      <top style="thin">
        <color theme="1" tint="0.24994659260841701"/>
      </top>
      <bottom style="thin">
        <color theme="1" tint="0.24994659260841701"/>
      </bottom>
      <diagonal/>
    </border>
    <border>
      <left/>
      <right/>
      <top style="thin">
        <color theme="1" tint="0.24994659260841701"/>
      </top>
      <bottom style="thin">
        <color theme="1" tint="0.24994659260841701"/>
      </bottom>
      <diagonal/>
    </border>
    <border>
      <left/>
      <right style="thin">
        <color theme="1" tint="0.24994659260841701"/>
      </right>
      <top style="thin">
        <color theme="1" tint="0.24994659260841701"/>
      </top>
      <bottom style="thin">
        <color theme="1" tint="0.24994659260841701"/>
      </bottom>
      <diagonal/>
    </border>
    <border>
      <left/>
      <right style="thin">
        <color theme="0"/>
      </right>
      <top style="thin">
        <color indexed="64"/>
      </top>
      <bottom/>
      <diagonal/>
    </border>
    <border>
      <left style="thin">
        <color theme="0"/>
      </left>
      <right style="thin">
        <color theme="0"/>
      </right>
      <top style="thin">
        <color indexed="64"/>
      </top>
      <bottom/>
      <diagonal/>
    </border>
    <border>
      <left style="thin">
        <color theme="0"/>
      </left>
      <right/>
      <top style="thin">
        <color indexed="64"/>
      </top>
      <bottom/>
      <diagonal/>
    </border>
    <border>
      <left style="thin">
        <color indexed="64"/>
      </left>
      <right style="thin">
        <color theme="0" tint="-0.499984740745262"/>
      </right>
      <top/>
      <bottom style="thin">
        <color indexed="64"/>
      </bottom>
      <diagonal/>
    </border>
    <border>
      <left/>
      <right style="thin">
        <color theme="1" tint="0.24994659260841701"/>
      </right>
      <top/>
      <bottom/>
      <diagonal/>
    </border>
    <border>
      <left style="thin">
        <color theme="0" tint="-0.34998626667073579"/>
      </left>
      <right/>
      <top style="thin">
        <color theme="1" tint="0.499984740745262"/>
      </top>
      <bottom style="thin">
        <color theme="0" tint="-0.34998626667073579"/>
      </bottom>
      <diagonal/>
    </border>
    <border>
      <left style="double">
        <color theme="0" tint="-0.34998626667073579"/>
      </left>
      <right style="double">
        <color theme="0" tint="-0.34998626667073579"/>
      </right>
      <top style="thin">
        <color theme="1" tint="0.499984740745262"/>
      </top>
      <bottom style="thin">
        <color theme="0" tint="-0.34998626667073579"/>
      </bottom>
      <diagonal/>
    </border>
    <border>
      <left/>
      <right/>
      <top style="thin">
        <color theme="1" tint="0.499984740745262"/>
      </top>
      <bottom style="thin">
        <color theme="0" tint="-0.34998626667073579"/>
      </bottom>
      <diagonal/>
    </border>
    <border>
      <left/>
      <right/>
      <top style="thin">
        <color indexed="64"/>
      </top>
      <bottom/>
      <diagonal/>
    </border>
    <border>
      <left/>
      <right/>
      <top style="double">
        <color theme="1" tint="0.499984740745262"/>
      </top>
      <bottom style="thin">
        <color theme="1" tint="0.499984740745262"/>
      </bottom>
      <diagonal/>
    </border>
    <border>
      <left/>
      <right/>
      <top/>
      <bottom style="double">
        <color theme="1" tint="0.499984740745262"/>
      </bottom>
      <diagonal/>
    </border>
    <border>
      <left style="thin">
        <color theme="0" tint="-0.34998626667073579"/>
      </left>
      <right style="thin">
        <color theme="0" tint="-0.34998626667073579"/>
      </right>
      <top/>
      <bottom style="double">
        <color theme="0" tint="-0.499984740745262"/>
      </bottom>
      <diagonal/>
    </border>
    <border>
      <left style="thin">
        <color theme="0" tint="-0.34998626667073579"/>
      </left>
      <right style="double">
        <color theme="0" tint="-0.499984740745262"/>
      </right>
      <top/>
      <bottom/>
      <diagonal/>
    </border>
    <border>
      <left style="thin">
        <color theme="0" tint="-0.34998626667073579"/>
      </left>
      <right style="double">
        <color theme="0" tint="-0.499984740745262"/>
      </right>
      <top/>
      <bottom style="double">
        <color theme="0" tint="-0.499984740745262"/>
      </bottom>
      <diagonal/>
    </border>
    <border>
      <left style="thin">
        <color theme="0" tint="-0.34998626667073579"/>
      </left>
      <right style="thin">
        <color theme="0" tint="-0.34998626667073579"/>
      </right>
      <top/>
      <bottom style="double">
        <color theme="1" tint="0.499984740745262"/>
      </bottom>
      <diagonal/>
    </border>
    <border>
      <left style="thin">
        <color theme="0" tint="-0.34998626667073579"/>
      </left>
      <right style="double">
        <color theme="1" tint="0.499984740745262"/>
      </right>
      <top style="double">
        <color theme="1" tint="0.499984740745262"/>
      </top>
      <bottom/>
      <diagonal/>
    </border>
    <border>
      <left style="thin">
        <color theme="0" tint="-0.34998626667073579"/>
      </left>
      <right style="double">
        <color theme="1" tint="0.499984740745262"/>
      </right>
      <top/>
      <bottom/>
      <diagonal/>
    </border>
    <border>
      <left style="thin">
        <color theme="0" tint="-0.34998626667073579"/>
      </left>
      <right style="double">
        <color theme="1" tint="0.499984740745262"/>
      </right>
      <top/>
      <bottom style="double">
        <color theme="1" tint="0.499984740745262"/>
      </bottom>
      <diagonal/>
    </border>
    <border>
      <left/>
      <right/>
      <top style="thin">
        <color theme="0" tint="-0.24994659260841701"/>
      </top>
      <bottom style="thin">
        <color theme="0" tint="-0.24994659260841701"/>
      </bottom>
      <diagonal/>
    </border>
    <border>
      <left/>
      <right style="thin">
        <color theme="0" tint="-0.24994659260841701"/>
      </right>
      <top/>
      <bottom/>
      <diagonal/>
    </border>
    <border>
      <left style="thin">
        <color theme="0" tint="-0.24994659260841701"/>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right/>
      <top style="thin">
        <color theme="0"/>
      </top>
      <bottom style="medium">
        <color theme="0"/>
      </bottom>
      <diagonal/>
    </border>
    <border>
      <left style="thin">
        <color theme="0"/>
      </left>
      <right/>
      <top style="thin">
        <color theme="0"/>
      </top>
      <bottom style="medium">
        <color theme="0"/>
      </bottom>
      <diagonal/>
    </border>
    <border>
      <left style="thin">
        <color theme="0" tint="-0.34998626667073579"/>
      </left>
      <right style="double">
        <color theme="1" tint="0.34998626667073579"/>
      </right>
      <top style="double">
        <color theme="1" tint="0.34998626667073579"/>
      </top>
      <bottom style="double">
        <color theme="1" tint="0.34998626667073579"/>
      </bottom>
      <diagonal/>
    </border>
    <border>
      <left style="thin">
        <color theme="0" tint="-0.34998626667073579"/>
      </left>
      <right/>
      <top style="thin">
        <color theme="0" tint="-0.34998626667073579"/>
      </top>
      <bottom style="double">
        <color theme="1" tint="0.499984740745262"/>
      </bottom>
      <diagonal/>
    </border>
    <border>
      <left/>
      <right style="thin">
        <color theme="0" tint="-0.34998626667073579"/>
      </right>
      <top style="thin">
        <color theme="0" tint="-0.34998626667073579"/>
      </top>
      <bottom style="double">
        <color theme="1" tint="0.499984740745262"/>
      </bottom>
      <diagonal/>
    </border>
    <border>
      <left/>
      <right/>
      <top style="thin">
        <color theme="0" tint="-0.34998626667073579"/>
      </top>
      <bottom style="double">
        <color theme="1" tint="0.499984740745262"/>
      </bottom>
      <diagonal/>
    </border>
    <border>
      <left style="thin">
        <color theme="1" tint="0.34998626667073579"/>
      </left>
      <right style="thin">
        <color theme="0" tint="-0.34998626667073579"/>
      </right>
      <top style="thin">
        <color theme="1" tint="0.34998626667073579"/>
      </top>
      <bottom style="thin">
        <color theme="1" tint="0.34998626667073579"/>
      </bottom>
      <diagonal/>
    </border>
    <border>
      <left style="thin">
        <color theme="0" tint="-0.34998626667073579"/>
      </left>
      <right style="thin">
        <color theme="1" tint="0.34998626667073579"/>
      </right>
      <top style="thin">
        <color theme="1" tint="0.34998626667073579"/>
      </top>
      <bottom style="thin">
        <color theme="1" tint="0.34998626667073579"/>
      </bottom>
      <diagonal/>
    </border>
    <border>
      <left/>
      <right style="thin">
        <color theme="1" tint="0.34998626667073579"/>
      </right>
      <top style="thin">
        <color theme="0" tint="-0.34998626667073579"/>
      </top>
      <bottom style="thin">
        <color theme="0"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0" tint="-0.34998626667073579"/>
      </top>
      <bottom style="thin">
        <color theme="0" tint="-0.34998626667073579"/>
      </bottom>
      <diagonal/>
    </border>
    <border>
      <left style="thin">
        <color theme="1" tint="0.34998626667073579"/>
      </left>
      <right/>
      <top style="thin">
        <color theme="1" tint="0.34998626667073579"/>
      </top>
      <bottom style="double">
        <color theme="1" tint="0.499984740745262"/>
      </bottom>
      <diagonal/>
    </border>
    <border>
      <left/>
      <right style="thin">
        <color theme="1" tint="0.34998626667073579"/>
      </right>
      <top style="thin">
        <color theme="1" tint="0.34998626667073579"/>
      </top>
      <bottom style="double">
        <color theme="1" tint="0.499984740745262"/>
      </bottom>
      <diagonal/>
    </border>
    <border>
      <left/>
      <right/>
      <top style="double">
        <color theme="1" tint="0.499984740745262"/>
      </top>
      <bottom/>
      <diagonal/>
    </border>
    <border>
      <left style="thin">
        <color theme="0" tint="-0.34998626667073579"/>
      </left>
      <right style="thin">
        <color indexed="64"/>
      </right>
      <top style="double">
        <color auto="1"/>
      </top>
      <bottom style="double">
        <color auto="1"/>
      </bottom>
      <diagonal/>
    </border>
    <border>
      <left style="thin">
        <color theme="1" tint="0.34998626667073579"/>
      </left>
      <right/>
      <top style="thin">
        <color theme="0" tint="-0.34998626667073579"/>
      </top>
      <bottom style="double">
        <color theme="1" tint="0.499984740745262"/>
      </bottom>
      <diagonal/>
    </border>
    <border>
      <left style="thin">
        <color theme="0"/>
      </left>
      <right/>
      <top/>
      <bottom style="thin">
        <color theme="0" tint="-0.34998626667073579"/>
      </bottom>
      <diagonal/>
    </border>
    <border>
      <left style="thin">
        <color theme="0"/>
      </left>
      <right style="thin">
        <color theme="0"/>
      </right>
      <top/>
      <bottom style="thin">
        <color theme="0" tint="-0.34998626667073579"/>
      </bottom>
      <diagonal/>
    </border>
    <border>
      <left/>
      <right style="thin">
        <color theme="0"/>
      </right>
      <top/>
      <bottom style="thin">
        <color theme="0" tint="-0.34998626667073579"/>
      </bottom>
      <diagonal/>
    </border>
    <border>
      <left style="thin">
        <color rgb="FF7CBF33"/>
      </left>
      <right style="thin">
        <color rgb="FF7CBF33"/>
      </right>
      <top style="thin">
        <color theme="0" tint="-0.34998626667073579"/>
      </top>
      <bottom style="thin">
        <color rgb="FF7CBF33"/>
      </bottom>
      <diagonal/>
    </border>
    <border>
      <left style="thin">
        <color theme="0" tint="-0.34998626667073579"/>
      </left>
      <right style="medium">
        <color theme="0"/>
      </right>
      <top/>
      <bottom/>
      <diagonal/>
    </border>
    <border>
      <left/>
      <right style="double">
        <color indexed="64"/>
      </right>
      <top/>
      <bottom style="double">
        <color indexed="64"/>
      </bottom>
      <diagonal/>
    </border>
    <border>
      <left/>
      <right/>
      <top/>
      <bottom style="double">
        <color indexed="64"/>
      </bottom>
      <diagonal/>
    </border>
    <border>
      <left style="double">
        <color auto="1"/>
      </left>
      <right/>
      <top/>
      <bottom style="double">
        <color auto="1"/>
      </bottom>
      <diagonal/>
    </border>
    <border>
      <left/>
      <right style="double">
        <color indexed="64"/>
      </right>
      <top/>
      <bottom/>
      <diagonal/>
    </border>
    <border>
      <left style="double">
        <color auto="1"/>
      </left>
      <right/>
      <top/>
      <bottom/>
      <diagonal/>
    </border>
    <border>
      <left/>
      <right style="double">
        <color indexed="64"/>
      </right>
      <top style="double">
        <color indexed="64"/>
      </top>
      <bottom/>
      <diagonal/>
    </border>
    <border>
      <left style="double">
        <color auto="1"/>
      </left>
      <right/>
      <top style="double">
        <color auto="1"/>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theme="4"/>
      </top>
      <bottom/>
      <diagonal/>
    </border>
    <border>
      <left style="thin">
        <color indexed="64"/>
      </left>
      <right style="thin">
        <color indexed="64"/>
      </right>
      <top style="thin">
        <color theme="4"/>
      </top>
      <bottom style="thin">
        <color theme="4"/>
      </bottom>
      <diagonal/>
    </border>
    <border>
      <left style="thin">
        <color indexed="64"/>
      </left>
      <right style="thin">
        <color indexed="64"/>
      </right>
      <top style="thin">
        <color indexed="64"/>
      </top>
      <bottom style="thin">
        <color theme="4"/>
      </bottom>
      <diagonal/>
    </border>
    <border>
      <left style="thin">
        <color indexed="64"/>
      </left>
      <right style="thin">
        <color indexed="64"/>
      </right>
      <top/>
      <bottom style="thin">
        <color theme="4"/>
      </bottom>
      <diagonal/>
    </border>
    <border>
      <left style="thin">
        <color rgb="FF00B050"/>
      </left>
      <right/>
      <top style="thin">
        <color rgb="FF00B050"/>
      </top>
      <bottom style="thin">
        <color rgb="FF00B050"/>
      </bottom>
      <diagonal/>
    </border>
    <border>
      <left/>
      <right/>
      <top style="thin">
        <color rgb="FF00B050"/>
      </top>
      <bottom style="thin">
        <color rgb="FF00B050"/>
      </bottom>
      <diagonal/>
    </border>
    <border>
      <left/>
      <right style="thin">
        <color rgb="FF00B050"/>
      </right>
      <top style="thin">
        <color rgb="FF00B050"/>
      </top>
      <bottom style="thin">
        <color rgb="FF00B050"/>
      </bottom>
      <diagonal/>
    </border>
    <border>
      <left style="thin">
        <color rgb="FF7CBF33"/>
      </left>
      <right/>
      <top style="thin">
        <color theme="0" tint="-0.34998626667073579"/>
      </top>
      <bottom style="thin">
        <color rgb="FF7CBF33"/>
      </bottom>
      <diagonal/>
    </border>
    <border>
      <left/>
      <right style="thin">
        <color rgb="FF7CBF33"/>
      </right>
      <top style="thin">
        <color theme="0" tint="-0.34998626667073579"/>
      </top>
      <bottom style="thin">
        <color rgb="FF7CBF33"/>
      </bottom>
      <diagonal/>
    </border>
    <border>
      <left/>
      <right style="thin">
        <color rgb="FF7CBF33"/>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83">
    <xf numFmtId="0" fontId="0" fillId="0" borderId="0"/>
    <xf numFmtId="44" fontId="10" fillId="0" borderId="0" applyFont="0" applyFill="0" applyBorder="0" applyAlignment="0" applyProtection="0"/>
    <xf numFmtId="9" fontId="10" fillId="0" borderId="0" applyFont="0" applyFill="0" applyBorder="0" applyAlignment="0" applyProtection="0"/>
    <xf numFmtId="0" fontId="10" fillId="0" borderId="0"/>
    <xf numFmtId="0" fontId="32" fillId="0" borderId="0"/>
    <xf numFmtId="44" fontId="10" fillId="0" borderId="0" applyFont="0" applyFill="0" applyBorder="0" applyAlignment="0" applyProtection="0"/>
    <xf numFmtId="0" fontId="33" fillId="0" borderId="0" applyNumberFormat="0" applyFill="0" applyBorder="0" applyAlignment="0" applyProtection="0"/>
    <xf numFmtId="9" fontId="10" fillId="0" borderId="0" applyFont="0" applyFill="0" applyBorder="0" applyAlignment="0" applyProtection="0"/>
    <xf numFmtId="0" fontId="10" fillId="0" borderId="0"/>
    <xf numFmtId="0" fontId="9" fillId="0" borderId="0"/>
    <xf numFmtId="9" fontId="9" fillId="0" borderId="0" applyFont="0" applyFill="0" applyBorder="0" applyAlignment="0" applyProtection="0"/>
    <xf numFmtId="43" fontId="45" fillId="0" borderId="0" applyFont="0" applyFill="0" applyBorder="0" applyAlignment="0" applyProtection="0"/>
    <xf numFmtId="0" fontId="45" fillId="0" borderId="0"/>
    <xf numFmtId="44" fontId="45"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46" fillId="0" borderId="0" applyNumberFormat="0" applyFill="0" applyBorder="0" applyAlignment="0" applyProtection="0">
      <alignment vertical="top"/>
      <protection locked="0"/>
    </xf>
    <xf numFmtId="0" fontId="7" fillId="0" borderId="0"/>
    <xf numFmtId="9" fontId="7" fillId="0" borderId="0" applyFont="0" applyFill="0" applyBorder="0" applyAlignment="0" applyProtection="0"/>
    <xf numFmtId="43" fontId="105" fillId="0" borderId="0" applyFont="0" applyFill="0" applyBorder="0" applyAlignment="0" applyProtection="0"/>
    <xf numFmtId="43" fontId="10" fillId="0" borderId="0" applyFont="0" applyFill="0" applyBorder="0" applyAlignment="0" applyProtection="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xf numFmtId="0" fontId="129" fillId="0" borderId="0"/>
    <xf numFmtId="43" fontId="10" fillId="0" borderId="0" applyFont="0" applyFill="0" applyBorder="0" applyAlignment="0" applyProtection="0"/>
    <xf numFmtId="44" fontId="10" fillId="0" borderId="0" applyFont="0" applyFill="0" applyBorder="0" applyAlignment="0" applyProtection="0"/>
    <xf numFmtId="0" fontId="3" fillId="0" borderId="0"/>
    <xf numFmtId="9" fontId="10" fillId="0" borderId="0" applyFon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2" fillId="0" borderId="0"/>
    <xf numFmtId="0" fontId="10" fillId="0" borderId="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30" fillId="0" borderId="0" applyNumberFormat="0" applyFill="0" applyBorder="0" applyAlignment="0" applyProtection="0"/>
    <xf numFmtId="0" fontId="1" fillId="0" borderId="0"/>
    <xf numFmtId="0" fontId="10" fillId="0" borderId="0"/>
    <xf numFmtId="44" fontId="10" fillId="0" borderId="0" applyFont="0" applyFill="0" applyBorder="0" applyAlignment="0" applyProtection="0"/>
    <xf numFmtId="9" fontId="10" fillId="0" borderId="0" applyFont="0" applyFill="0" applyBorder="0" applyAlignment="0" applyProtection="0"/>
    <xf numFmtId="43" fontId="10" fillId="0" borderId="0" applyFont="0" applyFill="0" applyBorder="0" applyAlignment="0" applyProtection="0"/>
    <xf numFmtId="0" fontId="158" fillId="0" borderId="0"/>
    <xf numFmtId="0" fontId="10" fillId="0" borderId="0"/>
    <xf numFmtId="0" fontId="16" fillId="0" borderId="0" applyAlignment="0">
      <alignment vertical="top" wrapText="1"/>
      <protection locked="0"/>
    </xf>
  </cellStyleXfs>
  <cellXfs count="2517">
    <xf numFmtId="0" fontId="0" fillId="0" borderId="0" xfId="0"/>
    <xf numFmtId="0" fontId="21" fillId="0" borderId="0" xfId="0" applyFont="1"/>
    <xf numFmtId="0" fontId="21" fillId="0" borderId="0" xfId="0" applyFont="1" applyProtection="1">
      <protection locked="0"/>
    </xf>
    <xf numFmtId="0" fontId="21" fillId="0" borderId="0" xfId="0" applyFont="1" applyAlignment="1">
      <alignment vertical="top"/>
    </xf>
    <xf numFmtId="0" fontId="21" fillId="3" borderId="0" xfId="0" applyFont="1" applyFill="1"/>
    <xf numFmtId="0" fontId="21" fillId="0" borderId="0" xfId="0" applyFont="1" applyAlignment="1">
      <alignment vertical="center"/>
    </xf>
    <xf numFmtId="0" fontId="12" fillId="3" borderId="0" xfId="0" applyFont="1" applyFill="1" applyAlignment="1"/>
    <xf numFmtId="0" fontId="0" fillId="3" borderId="0" xfId="0" applyFill="1" applyProtection="1"/>
    <xf numFmtId="0" fontId="21" fillId="3" borderId="0" xfId="0" applyFont="1" applyFill="1" applyProtection="1"/>
    <xf numFmtId="0" fontId="20" fillId="3" borderId="0" xfId="0" applyFont="1" applyFill="1" applyBorder="1" applyProtection="1"/>
    <xf numFmtId="0" fontId="21" fillId="3" borderId="0" xfId="0" applyFont="1" applyFill="1" applyBorder="1" applyProtection="1"/>
    <xf numFmtId="0" fontId="14" fillId="3" borderId="0" xfId="0" applyFont="1" applyFill="1" applyBorder="1" applyAlignment="1" applyProtection="1"/>
    <xf numFmtId="0" fontId="17" fillId="3" borderId="0" xfId="0" applyFont="1" applyFill="1" applyBorder="1" applyProtection="1"/>
    <xf numFmtId="0" fontId="0" fillId="3" borderId="0" xfId="0" applyFill="1" applyBorder="1" applyProtection="1"/>
    <xf numFmtId="0" fontId="21" fillId="3" borderId="0" xfId="0" applyFont="1" applyFill="1" applyAlignment="1" applyProtection="1">
      <alignment horizontal="left"/>
    </xf>
    <xf numFmtId="0" fontId="0" fillId="0" borderId="0" xfId="0" applyProtection="1"/>
    <xf numFmtId="0" fontId="10" fillId="3" borderId="0" xfId="0" applyFont="1" applyFill="1" applyBorder="1" applyProtection="1"/>
    <xf numFmtId="0" fontId="0" fillId="3" borderId="0" xfId="0" applyFill="1" applyAlignment="1" applyProtection="1">
      <alignment vertical="center"/>
    </xf>
    <xf numFmtId="0" fontId="20" fillId="3" borderId="0" xfId="0" applyFont="1" applyFill="1" applyAlignment="1" applyProtection="1">
      <alignment vertical="center"/>
    </xf>
    <xf numFmtId="0" fontId="21" fillId="3" borderId="0" xfId="0" applyFont="1" applyFill="1" applyAlignment="1" applyProtection="1">
      <alignment vertical="center"/>
    </xf>
    <xf numFmtId="0" fontId="28" fillId="3" borderId="0" xfId="0" applyFont="1" applyFill="1" applyAlignment="1" applyProtection="1">
      <alignment vertical="center"/>
    </xf>
    <xf numFmtId="10" fontId="21" fillId="3" borderId="0" xfId="0" applyNumberFormat="1" applyFont="1" applyFill="1" applyAlignment="1" applyProtection="1">
      <alignment vertical="center"/>
    </xf>
    <xf numFmtId="0" fontId="28" fillId="3" borderId="0" xfId="0" applyFont="1" applyFill="1" applyProtection="1"/>
    <xf numFmtId="10" fontId="29" fillId="3" borderId="0" xfId="0" applyNumberFormat="1" applyFont="1" applyFill="1" applyAlignment="1" applyProtection="1">
      <alignment vertical="center"/>
    </xf>
    <xf numFmtId="166" fontId="21" fillId="3" borderId="0" xfId="0" applyNumberFormat="1" applyFont="1" applyFill="1" applyAlignment="1" applyProtection="1">
      <alignment vertical="center"/>
    </xf>
    <xf numFmtId="165" fontId="30" fillId="3" borderId="0" xfId="0" applyNumberFormat="1" applyFont="1" applyFill="1" applyAlignment="1" applyProtection="1">
      <alignment vertical="center"/>
    </xf>
    <xf numFmtId="0" fontId="21" fillId="3" borderId="0" xfId="0" applyFont="1" applyFill="1" applyAlignment="1" applyProtection="1">
      <alignment horizontal="center" vertical="center"/>
    </xf>
    <xf numFmtId="0" fontId="30" fillId="3" borderId="0" xfId="0" applyFont="1" applyFill="1" applyAlignment="1" applyProtection="1">
      <alignment horizontal="left" vertical="center"/>
      <protection hidden="1"/>
    </xf>
    <xf numFmtId="0" fontId="30" fillId="3" borderId="0" xfId="0" applyFont="1" applyFill="1" applyAlignment="1" applyProtection="1">
      <alignment vertical="center"/>
      <protection hidden="1"/>
    </xf>
    <xf numFmtId="0" fontId="20" fillId="3" borderId="0" xfId="0" applyFont="1" applyFill="1" applyAlignment="1" applyProtection="1">
      <alignment horizontal="left" vertical="center"/>
    </xf>
    <xf numFmtId="0" fontId="20" fillId="3" borderId="0" xfId="0" applyFont="1" applyFill="1" applyAlignment="1" applyProtection="1">
      <alignment horizontal="left" vertical="center"/>
      <protection hidden="1"/>
    </xf>
    <xf numFmtId="165" fontId="21" fillId="3" borderId="0" xfId="0" applyNumberFormat="1" applyFont="1" applyFill="1" applyAlignment="1" applyProtection="1">
      <alignment vertical="center"/>
      <protection hidden="1"/>
    </xf>
    <xf numFmtId="166" fontId="30" fillId="3" borderId="0" xfId="0" applyNumberFormat="1" applyFont="1" applyFill="1" applyAlignment="1" applyProtection="1">
      <alignment horizontal="left" vertical="center"/>
      <protection hidden="1"/>
    </xf>
    <xf numFmtId="166" fontId="30" fillId="3" borderId="0" xfId="0" applyNumberFormat="1" applyFont="1" applyFill="1" applyAlignment="1" applyProtection="1">
      <alignment horizontal="left" vertical="center"/>
    </xf>
    <xf numFmtId="0" fontId="20" fillId="3" borderId="0" xfId="0" applyFont="1" applyFill="1" applyBorder="1" applyAlignment="1" applyProtection="1">
      <alignment horizontal="center" vertical="center"/>
    </xf>
    <xf numFmtId="42" fontId="21" fillId="3" borderId="0" xfId="0" applyNumberFormat="1" applyFont="1" applyFill="1" applyBorder="1" applyProtection="1"/>
    <xf numFmtId="0" fontId="15" fillId="3" borderId="0" xfId="0" applyFont="1" applyFill="1" applyBorder="1" applyAlignment="1" applyProtection="1"/>
    <xf numFmtId="0" fontId="11" fillId="3" borderId="0" xfId="0" applyFont="1" applyFill="1" applyBorder="1" applyProtection="1"/>
    <xf numFmtId="0" fontId="26" fillId="3" borderId="0" xfId="0" applyFont="1" applyFill="1" applyBorder="1" applyAlignment="1" applyProtection="1">
      <alignment vertical="center"/>
    </xf>
    <xf numFmtId="0" fontId="16" fillId="3" borderId="0" xfId="0" applyFont="1" applyFill="1" applyProtection="1"/>
    <xf numFmtId="0" fontId="21" fillId="0" borderId="0" xfId="0" applyFont="1" applyProtection="1"/>
    <xf numFmtId="0" fontId="21" fillId="0" borderId="0" xfId="0" applyFont="1" applyAlignment="1" applyProtection="1">
      <alignment vertical="center"/>
    </xf>
    <xf numFmtId="0" fontId="20" fillId="3" borderId="0" xfId="0" applyFont="1" applyFill="1" applyBorder="1" applyAlignment="1" applyProtection="1">
      <alignment vertical="center"/>
    </xf>
    <xf numFmtId="0" fontId="20" fillId="3" borderId="0" xfId="0" applyFont="1" applyFill="1" applyAlignment="1" applyProtection="1">
      <alignment horizontal="center"/>
    </xf>
    <xf numFmtId="0" fontId="20" fillId="3" borderId="0" xfId="0" applyFont="1" applyFill="1" applyAlignment="1" applyProtection="1">
      <alignment horizontal="center" vertical="center"/>
    </xf>
    <xf numFmtId="0" fontId="21" fillId="3" borderId="0" xfId="0" applyFont="1" applyFill="1" applyBorder="1" applyAlignment="1" applyProtection="1">
      <alignment vertical="center"/>
    </xf>
    <xf numFmtId="0" fontId="16" fillId="0" borderId="0" xfId="0" applyFont="1" applyAlignment="1" applyProtection="1">
      <alignment horizontal="center" vertical="center"/>
    </xf>
    <xf numFmtId="0" fontId="0" fillId="0" borderId="0" xfId="0"/>
    <xf numFmtId="0" fontId="24" fillId="0" borderId="0" xfId="0" applyFont="1" applyAlignment="1" applyProtection="1">
      <alignment vertical="center"/>
    </xf>
    <xf numFmtId="0" fontId="0" fillId="0" borderId="0" xfId="0" applyBorder="1" applyProtection="1"/>
    <xf numFmtId="166" fontId="21" fillId="3" borderId="0" xfId="0" applyNumberFormat="1" applyFont="1" applyFill="1" applyProtection="1"/>
    <xf numFmtId="0" fontId="39" fillId="0" borderId="0" xfId="0" applyFont="1" applyProtection="1"/>
    <xf numFmtId="0" fontId="16" fillId="3" borderId="0" xfId="0" applyFont="1" applyFill="1" applyBorder="1" applyAlignment="1" applyProtection="1">
      <alignment horizontal="center" vertical="center"/>
    </xf>
    <xf numFmtId="165" fontId="21" fillId="3" borderId="0" xfId="0" applyNumberFormat="1" applyFont="1" applyFill="1" applyBorder="1" applyAlignment="1" applyProtection="1">
      <alignment vertical="center"/>
    </xf>
    <xf numFmtId="0" fontId="21" fillId="3" borderId="0" xfId="0" applyFont="1" applyFill="1" applyBorder="1" applyAlignment="1" applyProtection="1">
      <alignment horizontal="left" vertical="center"/>
    </xf>
    <xf numFmtId="0" fontId="27" fillId="3" borderId="0" xfId="0" applyFont="1" applyFill="1" applyBorder="1" applyAlignment="1" applyProtection="1">
      <alignment horizontal="left" vertical="center" wrapText="1"/>
    </xf>
    <xf numFmtId="0" fontId="21" fillId="0" borderId="0" xfId="0" applyFont="1" applyBorder="1"/>
    <xf numFmtId="0" fontId="15" fillId="0" borderId="0" xfId="0" applyFont="1" applyFill="1" applyBorder="1" applyAlignment="1" applyProtection="1"/>
    <xf numFmtId="0" fontId="15" fillId="0" borderId="0" xfId="0" applyFont="1" applyFill="1" applyBorder="1" applyAlignment="1" applyProtection="1">
      <alignment horizontal="center"/>
    </xf>
    <xf numFmtId="0" fontId="21" fillId="0" borderId="0" xfId="0" applyFont="1" applyAlignment="1" applyProtection="1">
      <alignment horizontal="center"/>
    </xf>
    <xf numFmtId="166" fontId="21" fillId="0" borderId="0" xfId="0" applyNumberFormat="1" applyFont="1" applyAlignment="1" applyProtection="1">
      <alignment vertical="center"/>
    </xf>
    <xf numFmtId="0" fontId="20" fillId="3" borderId="0" xfId="0" applyFont="1" applyFill="1" applyBorder="1" applyAlignment="1" applyProtection="1">
      <alignment horizontal="center"/>
    </xf>
    <xf numFmtId="0" fontId="21" fillId="3" borderId="0" xfId="0" applyFont="1" applyFill="1" applyBorder="1" applyAlignment="1" applyProtection="1">
      <alignment horizontal="left"/>
    </xf>
    <xf numFmtId="166" fontId="38" fillId="3" borderId="0" xfId="0" applyNumberFormat="1" applyFont="1" applyFill="1" applyAlignment="1" applyProtection="1">
      <alignment vertical="center"/>
    </xf>
    <xf numFmtId="170" fontId="34" fillId="7" borderId="1" xfId="1" applyNumberFormat="1" applyFont="1" applyFill="1" applyBorder="1" applyAlignment="1" applyProtection="1">
      <alignment horizontal="center" vertical="center"/>
    </xf>
    <xf numFmtId="170" fontId="34" fillId="7" borderId="1" xfId="0" applyNumberFormat="1" applyFont="1" applyFill="1" applyBorder="1" applyAlignment="1" applyProtection="1">
      <alignment horizontal="center" vertical="center"/>
    </xf>
    <xf numFmtId="169" fontId="34" fillId="7" borderId="1" xfId="0" applyNumberFormat="1" applyFont="1" applyFill="1" applyBorder="1" applyAlignment="1" applyProtection="1">
      <alignment horizontal="center" vertical="center"/>
    </xf>
    <xf numFmtId="0" fontId="20" fillId="3" borderId="0" xfId="0" applyFont="1" applyFill="1" applyBorder="1" applyAlignment="1" applyProtection="1">
      <alignment horizontal="right" vertical="center"/>
    </xf>
    <xf numFmtId="0" fontId="12" fillId="3" borderId="0" xfId="0" applyFont="1" applyFill="1" applyAlignment="1">
      <alignment horizontal="center"/>
    </xf>
    <xf numFmtId="0" fontId="15" fillId="3" borderId="0" xfId="0" applyFont="1" applyFill="1" applyBorder="1" applyAlignment="1" applyProtection="1">
      <alignment horizontal="right"/>
    </xf>
    <xf numFmtId="0" fontId="21" fillId="0" borderId="0" xfId="0" applyFont="1" applyAlignment="1" applyProtection="1">
      <alignment horizontal="center" vertical="center"/>
    </xf>
    <xf numFmtId="0" fontId="21" fillId="3" borderId="0" xfId="0" applyFont="1" applyFill="1" applyBorder="1" applyAlignment="1" applyProtection="1">
      <alignment horizontal="center" vertical="center"/>
    </xf>
    <xf numFmtId="0" fontId="34" fillId="8" borderId="0" xfId="0" applyFont="1" applyFill="1" applyBorder="1" applyAlignment="1" applyProtection="1">
      <alignment vertical="center"/>
    </xf>
    <xf numFmtId="0" fontId="34" fillId="3" borderId="0" xfId="0" applyFont="1" applyFill="1" applyBorder="1" applyAlignment="1" applyProtection="1">
      <alignment horizontal="center" vertical="center"/>
    </xf>
    <xf numFmtId="0" fontId="21" fillId="3" borderId="0" xfId="0" applyFont="1" applyFill="1" applyBorder="1" applyAlignment="1" applyProtection="1">
      <alignment horizontal="center"/>
    </xf>
    <xf numFmtId="0" fontId="54" fillId="3" borderId="0" xfId="0" applyFont="1" applyFill="1" applyAlignment="1" applyProtection="1">
      <alignment horizontal="right"/>
    </xf>
    <xf numFmtId="0" fontId="0" fillId="0" borderId="0" xfId="0" applyAlignment="1" applyProtection="1">
      <alignment vertical="center"/>
    </xf>
    <xf numFmtId="0" fontId="0" fillId="0" borderId="0" xfId="0" applyBorder="1" applyAlignment="1" applyProtection="1">
      <alignment vertical="center"/>
    </xf>
    <xf numFmtId="0" fontId="0" fillId="3" borderId="0" xfId="0" applyFill="1" applyAlignment="1" applyProtection="1">
      <alignment horizontal="center"/>
    </xf>
    <xf numFmtId="0" fontId="0" fillId="3" borderId="0" xfId="0" applyFill="1" applyBorder="1" applyAlignment="1" applyProtection="1">
      <alignment horizontal="center"/>
    </xf>
    <xf numFmtId="0" fontId="25" fillId="3" borderId="0" xfId="0" applyFont="1" applyFill="1" applyAlignment="1" applyProtection="1">
      <alignment vertical="center"/>
    </xf>
    <xf numFmtId="0" fontId="25" fillId="0" borderId="0" xfId="0" applyFont="1" applyAlignment="1" applyProtection="1">
      <alignment vertical="center"/>
    </xf>
    <xf numFmtId="0" fontId="16" fillId="0" borderId="0" xfId="0" applyFont="1" applyAlignment="1" applyProtection="1">
      <alignment vertical="center"/>
    </xf>
    <xf numFmtId="0" fontId="10" fillId="0" borderId="0" xfId="0" applyFont="1" applyAlignment="1" applyProtection="1">
      <alignment vertical="center"/>
    </xf>
    <xf numFmtId="0" fontId="10" fillId="3" borderId="0" xfId="0" applyFont="1" applyFill="1" applyAlignment="1" applyProtection="1">
      <alignment vertical="center"/>
    </xf>
    <xf numFmtId="0" fontId="31" fillId="3" borderId="0" xfId="0" applyFont="1" applyFill="1" applyBorder="1" applyAlignment="1" applyProtection="1">
      <alignment vertical="center"/>
    </xf>
    <xf numFmtId="0" fontId="10" fillId="3" borderId="0" xfId="0" applyFont="1" applyFill="1" applyBorder="1" applyAlignment="1" applyProtection="1">
      <alignment vertical="center"/>
    </xf>
    <xf numFmtId="0" fontId="16" fillId="0" borderId="0" xfId="0" applyFont="1" applyBorder="1" applyAlignment="1" applyProtection="1">
      <alignment vertical="center"/>
    </xf>
    <xf numFmtId="0" fontId="21" fillId="0" borderId="0" xfId="0" applyFont="1" applyBorder="1" applyAlignment="1" applyProtection="1">
      <alignment vertical="center"/>
    </xf>
    <xf numFmtId="0" fontId="10" fillId="0" borderId="0" xfId="0" applyFont="1" applyBorder="1" applyProtection="1"/>
    <xf numFmtId="0" fontId="10" fillId="3" borderId="0" xfId="0" applyFont="1" applyFill="1" applyProtection="1"/>
    <xf numFmtId="0" fontId="10" fillId="0" borderId="0" xfId="0" applyFont="1" applyProtection="1"/>
    <xf numFmtId="0" fontId="43" fillId="3" borderId="0" xfId="0" applyFont="1" applyFill="1" applyBorder="1" applyAlignment="1" applyProtection="1">
      <alignment vertical="center"/>
    </xf>
    <xf numFmtId="166" fontId="21" fillId="0" borderId="0" xfId="0" applyNumberFormat="1" applyFont="1" applyBorder="1" applyAlignment="1" applyProtection="1">
      <alignment horizontal="center" vertical="center"/>
    </xf>
    <xf numFmtId="0" fontId="21" fillId="0" borderId="1" xfId="0" applyFont="1" applyBorder="1" applyAlignment="1" applyProtection="1">
      <alignment horizontal="center" vertical="center"/>
    </xf>
    <xf numFmtId="166" fontId="21" fillId="0" borderId="1" xfId="0" applyNumberFormat="1" applyFont="1" applyBorder="1" applyAlignment="1" applyProtection="1">
      <alignment horizontal="center" vertical="center"/>
    </xf>
    <xf numFmtId="0" fontId="57" fillId="3" borderId="0" xfId="0" applyFont="1" applyFill="1" applyBorder="1" applyAlignment="1" applyProtection="1">
      <alignment horizontal="right"/>
    </xf>
    <xf numFmtId="0" fontId="16" fillId="0" borderId="0" xfId="0" applyFont="1" applyProtection="1"/>
    <xf numFmtId="0" fontId="16" fillId="0" borderId="0" xfId="0" applyFont="1" applyAlignment="1" applyProtection="1">
      <alignment horizontal="center"/>
    </xf>
    <xf numFmtId="0" fontId="16" fillId="3" borderId="0" xfId="0" applyFont="1" applyFill="1" applyBorder="1" applyProtection="1"/>
    <xf numFmtId="49" fontId="10" fillId="3" borderId="12" xfId="0" applyNumberFormat="1" applyFont="1" applyFill="1" applyBorder="1" applyAlignment="1" applyProtection="1">
      <alignment vertical="center"/>
    </xf>
    <xf numFmtId="0" fontId="21" fillId="3" borderId="0" xfId="0" applyFont="1" applyFill="1" applyBorder="1" applyAlignment="1" applyProtection="1"/>
    <xf numFmtId="165" fontId="21" fillId="0" borderId="19" xfId="0" applyNumberFormat="1" applyFont="1" applyBorder="1" applyAlignment="1" applyProtection="1">
      <alignment horizontal="center" vertical="center"/>
      <protection locked="0"/>
    </xf>
    <xf numFmtId="165" fontId="21" fillId="0" borderId="0" xfId="0" applyNumberFormat="1" applyFont="1" applyBorder="1" applyAlignment="1" applyProtection="1">
      <alignment horizontal="center" vertical="center"/>
      <protection locked="0"/>
    </xf>
    <xf numFmtId="49" fontId="10" fillId="3" borderId="53" xfId="0" applyNumberFormat="1" applyFont="1" applyFill="1" applyBorder="1" applyAlignment="1" applyProtection="1">
      <alignment vertical="center"/>
    </xf>
    <xf numFmtId="49" fontId="10" fillId="3" borderId="53" xfId="0" applyNumberFormat="1" applyFont="1" applyFill="1" applyBorder="1" applyAlignment="1" applyProtection="1">
      <alignment horizontal="right" vertical="center"/>
    </xf>
    <xf numFmtId="49" fontId="10" fillId="3" borderId="54" xfId="0" applyNumberFormat="1" applyFont="1" applyFill="1" applyBorder="1" applyAlignment="1" applyProtection="1">
      <alignment horizontal="right" vertical="center"/>
    </xf>
    <xf numFmtId="0" fontId="16" fillId="0" borderId="1" xfId="0" applyFont="1" applyBorder="1" applyAlignment="1" applyProtection="1">
      <alignment horizontal="center"/>
    </xf>
    <xf numFmtId="0" fontId="16" fillId="0" borderId="1" xfId="0" applyFont="1" applyBorder="1" applyAlignment="1" applyProtection="1">
      <alignment vertical="center"/>
    </xf>
    <xf numFmtId="0" fontId="66" fillId="3" borderId="0" xfId="0" applyFont="1" applyFill="1" applyBorder="1" applyAlignment="1" applyProtection="1">
      <alignment vertical="center" wrapText="1"/>
    </xf>
    <xf numFmtId="0" fontId="16" fillId="0" borderId="0" xfId="0" applyFont="1" applyBorder="1" applyAlignment="1" applyProtection="1">
      <alignment horizontal="center"/>
    </xf>
    <xf numFmtId="49" fontId="10" fillId="3" borderId="0" xfId="0" applyNumberFormat="1" applyFont="1" applyFill="1" applyBorder="1" applyAlignment="1" applyProtection="1">
      <alignment vertical="center"/>
    </xf>
    <xf numFmtId="49" fontId="16" fillId="3" borderId="0" xfId="0" applyNumberFormat="1" applyFont="1" applyFill="1" applyProtection="1"/>
    <xf numFmtId="49" fontId="16" fillId="0" borderId="0" xfId="0" applyNumberFormat="1" applyFont="1" applyProtection="1"/>
    <xf numFmtId="0" fontId="60" fillId="0" borderId="0" xfId="0" applyFont="1" applyBorder="1" applyProtection="1"/>
    <xf numFmtId="0" fontId="60" fillId="3" borderId="0" xfId="0" applyFont="1" applyFill="1" applyBorder="1" applyProtection="1"/>
    <xf numFmtId="0" fontId="0" fillId="0" borderId="0" xfId="0" applyBorder="1" applyAlignment="1" applyProtection="1"/>
    <xf numFmtId="0" fontId="0" fillId="0" borderId="0" xfId="0" applyAlignment="1" applyProtection="1"/>
    <xf numFmtId="0" fontId="16" fillId="0" borderId="1" xfId="0" applyFont="1" applyBorder="1" applyProtection="1"/>
    <xf numFmtId="0" fontId="0" fillId="0" borderId="0" xfId="0" applyAlignment="1" applyProtection="1">
      <alignment horizontal="center" vertical="center"/>
    </xf>
    <xf numFmtId="0" fontId="74" fillId="7" borderId="0" xfId="0" applyFont="1" applyFill="1" applyAlignment="1" applyProtection="1">
      <alignment vertical="center"/>
    </xf>
    <xf numFmtId="0" fontId="21" fillId="3" borderId="1" xfId="0" applyFont="1" applyFill="1" applyBorder="1" applyAlignment="1" applyProtection="1">
      <alignment vertical="center"/>
    </xf>
    <xf numFmtId="49" fontId="0" fillId="0" borderId="0" xfId="0" applyNumberFormat="1" applyProtection="1"/>
    <xf numFmtId="0" fontId="67" fillId="3" borderId="0" xfId="0" applyFont="1" applyFill="1" applyAlignment="1" applyProtection="1">
      <alignment horizontal="right"/>
    </xf>
    <xf numFmtId="0" fontId="0" fillId="0" borderId="0" xfId="0" applyAlignment="1" applyProtection="1">
      <alignment horizontal="center"/>
    </xf>
    <xf numFmtId="49" fontId="10" fillId="0" borderId="0" xfId="0" applyNumberFormat="1" applyFont="1" applyBorder="1" applyProtection="1"/>
    <xf numFmtId="0" fontId="0" fillId="0" borderId="0" xfId="0" applyBorder="1" applyAlignment="1" applyProtection="1">
      <alignment horizontal="center"/>
    </xf>
    <xf numFmtId="0" fontId="59" fillId="3" borderId="0" xfId="0" applyFont="1" applyFill="1" applyBorder="1" applyAlignment="1" applyProtection="1">
      <alignment vertical="center"/>
    </xf>
    <xf numFmtId="165" fontId="48" fillId="3" borderId="47" xfId="0" applyNumberFormat="1" applyFont="1" applyFill="1" applyBorder="1" applyAlignment="1" applyProtection="1">
      <alignment horizontal="center" vertical="center"/>
      <protection locked="0"/>
    </xf>
    <xf numFmtId="165" fontId="48" fillId="3" borderId="32" xfId="0" applyNumberFormat="1" applyFont="1" applyFill="1" applyBorder="1" applyAlignment="1" applyProtection="1">
      <alignment horizontal="center" vertical="center"/>
      <protection locked="0"/>
    </xf>
    <xf numFmtId="165" fontId="48" fillId="3" borderId="64" xfId="0" applyNumberFormat="1" applyFont="1" applyFill="1" applyBorder="1" applyAlignment="1" applyProtection="1">
      <alignment horizontal="center" vertical="center"/>
      <protection locked="0"/>
    </xf>
    <xf numFmtId="0" fontId="42" fillId="8" borderId="0" xfId="0" applyFont="1" applyFill="1" applyBorder="1" applyAlignment="1" applyProtection="1">
      <alignment horizontal="center" vertical="center"/>
    </xf>
    <xf numFmtId="166" fontId="42" fillId="8" borderId="0" xfId="0" applyNumberFormat="1" applyFont="1" applyFill="1" applyBorder="1" applyAlignment="1" applyProtection="1">
      <alignment vertical="center"/>
    </xf>
    <xf numFmtId="0" fontId="16" fillId="3" borderId="0" xfId="0" applyFont="1" applyFill="1" applyBorder="1" applyAlignment="1" applyProtection="1">
      <alignment horizontal="center"/>
    </xf>
    <xf numFmtId="0" fontId="47" fillId="0" borderId="52" xfId="19" applyFont="1" applyFill="1" applyBorder="1" applyAlignment="1" applyProtection="1">
      <alignment horizontal="right" vertical="center"/>
    </xf>
    <xf numFmtId="0" fontId="0" fillId="0" borderId="47" xfId="0" applyBorder="1" applyProtection="1"/>
    <xf numFmtId="0" fontId="0" fillId="3" borderId="39" xfId="0" applyFill="1" applyBorder="1" applyProtection="1"/>
    <xf numFmtId="0" fontId="75" fillId="3" borderId="51" xfId="19" applyFont="1" applyFill="1" applyBorder="1" applyAlignment="1" applyProtection="1">
      <alignment horizontal="center" vertical="center" wrapText="1"/>
    </xf>
    <xf numFmtId="0" fontId="75" fillId="3" borderId="51" xfId="19" applyFont="1" applyFill="1" applyBorder="1" applyAlignment="1" applyProtection="1">
      <alignment vertical="center" wrapText="1"/>
    </xf>
    <xf numFmtId="0" fontId="57" fillId="3" borderId="47" xfId="0" applyFont="1" applyFill="1" applyBorder="1" applyAlignment="1" applyProtection="1">
      <alignment horizontal="right"/>
    </xf>
    <xf numFmtId="49" fontId="21" fillId="3" borderId="47" xfId="0" applyNumberFormat="1" applyFont="1" applyFill="1" applyBorder="1" applyAlignment="1" applyProtection="1">
      <alignment vertical="center"/>
    </xf>
    <xf numFmtId="49" fontId="21" fillId="3" borderId="0" xfId="0" applyNumberFormat="1" applyFont="1" applyFill="1" applyBorder="1" applyAlignment="1" applyProtection="1">
      <alignment vertical="center"/>
    </xf>
    <xf numFmtId="0" fontId="75" fillId="3" borderId="24" xfId="19" applyFont="1" applyFill="1" applyBorder="1" applyAlignment="1" applyProtection="1">
      <alignment vertical="center" wrapText="1"/>
    </xf>
    <xf numFmtId="0" fontId="75" fillId="3" borderId="36" xfId="19" applyFont="1" applyFill="1" applyBorder="1" applyAlignment="1" applyProtection="1">
      <alignment vertical="center" wrapText="1"/>
    </xf>
    <xf numFmtId="0" fontId="75" fillId="3" borderId="38" xfId="19" applyFont="1" applyFill="1" applyBorder="1" applyAlignment="1" applyProtection="1">
      <alignment vertical="center" wrapText="1"/>
    </xf>
    <xf numFmtId="0" fontId="75" fillId="3" borderId="51" xfId="19" applyFont="1" applyFill="1" applyBorder="1" applyAlignment="1" applyProtection="1">
      <alignment vertical="center"/>
    </xf>
    <xf numFmtId="0" fontId="78" fillId="0" borderId="0" xfId="0" applyFont="1" applyAlignment="1" applyProtection="1"/>
    <xf numFmtId="0" fontId="78" fillId="3" borderId="0" xfId="0" applyFont="1" applyFill="1" applyAlignment="1" applyProtection="1"/>
    <xf numFmtId="0" fontId="47" fillId="3" borderId="0" xfId="19" applyFont="1" applyFill="1" applyBorder="1" applyAlignment="1" applyProtection="1">
      <alignment horizontal="right" vertical="center"/>
    </xf>
    <xf numFmtId="0" fontId="75" fillId="3" borderId="47" xfId="0" applyFont="1" applyFill="1" applyBorder="1" applyAlignment="1" applyProtection="1">
      <alignment vertical="center" wrapText="1"/>
    </xf>
    <xf numFmtId="0" fontId="73" fillId="3" borderId="51" xfId="19" applyFont="1" applyFill="1" applyBorder="1" applyAlignment="1" applyProtection="1">
      <alignment vertical="center"/>
    </xf>
    <xf numFmtId="0" fontId="75" fillId="3" borderId="0" xfId="0" applyFont="1" applyFill="1" applyBorder="1" applyAlignment="1" applyProtection="1">
      <alignment vertical="center" wrapText="1"/>
    </xf>
    <xf numFmtId="0" fontId="75" fillId="3" borderId="0" xfId="0" applyFont="1" applyFill="1" applyBorder="1" applyAlignment="1" applyProtection="1">
      <alignment vertical="center"/>
    </xf>
    <xf numFmtId="165" fontId="69" fillId="11" borderId="27" xfId="1" applyNumberFormat="1" applyFont="1" applyFill="1" applyBorder="1" applyAlignment="1" applyProtection="1">
      <alignment horizontal="center" vertical="center"/>
    </xf>
    <xf numFmtId="165" fontId="69" fillId="11" borderId="17" xfId="1" applyNumberFormat="1" applyFont="1" applyFill="1" applyBorder="1" applyAlignment="1" applyProtection="1">
      <alignment horizontal="center" vertical="center"/>
    </xf>
    <xf numFmtId="165" fontId="69" fillId="11" borderId="18" xfId="1" applyNumberFormat="1" applyFont="1" applyFill="1" applyBorder="1" applyAlignment="1" applyProtection="1">
      <alignment horizontal="center" vertical="center"/>
    </xf>
    <xf numFmtId="165" fontId="69" fillId="11" borderId="19" xfId="1" applyNumberFormat="1" applyFont="1" applyFill="1" applyBorder="1" applyAlignment="1" applyProtection="1">
      <alignment horizontal="center" vertical="center"/>
    </xf>
    <xf numFmtId="0" fontId="59" fillId="3" borderId="0" xfId="0" applyFont="1" applyFill="1" applyAlignment="1">
      <alignment horizontal="left"/>
    </xf>
    <xf numFmtId="0" fontId="65" fillId="0" borderId="0" xfId="0" applyFont="1" applyAlignment="1">
      <alignment horizontal="left"/>
    </xf>
    <xf numFmtId="0" fontId="57" fillId="13" borderId="116" xfId="19" applyFont="1" applyFill="1" applyBorder="1" applyAlignment="1" applyProtection="1">
      <alignment horizontal="center" vertical="top" wrapText="1"/>
      <protection locked="0"/>
    </xf>
    <xf numFmtId="0" fontId="15" fillId="3" borderId="31" xfId="0" applyFont="1" applyFill="1" applyBorder="1" applyAlignment="1" applyProtection="1">
      <alignment horizontal="center"/>
    </xf>
    <xf numFmtId="0" fontId="17" fillId="3" borderId="47" xfId="0" applyFont="1" applyFill="1" applyBorder="1" applyProtection="1"/>
    <xf numFmtId="0" fontId="21" fillId="0" borderId="47" xfId="0" applyFont="1" applyBorder="1"/>
    <xf numFmtId="166" fontId="38" fillId="3" borderId="0" xfId="0" applyNumberFormat="1" applyFont="1" applyFill="1" applyBorder="1" applyAlignment="1" applyProtection="1">
      <alignment vertical="center"/>
    </xf>
    <xf numFmtId="0" fontId="21" fillId="3" borderId="84" xfId="0" applyFont="1" applyFill="1" applyBorder="1" applyAlignment="1" applyProtection="1">
      <alignment vertical="center"/>
    </xf>
    <xf numFmtId="0" fontId="0" fillId="0" borderId="0" xfId="0" applyAlignment="1" applyProtection="1">
      <alignment horizontal="left"/>
    </xf>
    <xf numFmtId="0" fontId="75" fillId="3" borderId="51" xfId="19" applyFont="1" applyFill="1" applyBorder="1" applyAlignment="1" applyProtection="1">
      <alignment horizontal="center" vertical="center"/>
    </xf>
    <xf numFmtId="0" fontId="21" fillId="3" borderId="0" xfId="0" applyFont="1" applyFill="1" applyAlignment="1" applyProtection="1">
      <alignment horizontal="center"/>
    </xf>
    <xf numFmtId="0" fontId="57" fillId="3" borderId="0" xfId="0" applyFont="1" applyFill="1" applyBorder="1" applyAlignment="1" applyProtection="1">
      <alignment vertical="center"/>
    </xf>
    <xf numFmtId="49" fontId="21" fillId="3" borderId="31" xfId="0" applyNumberFormat="1" applyFont="1" applyFill="1" applyBorder="1" applyAlignment="1" applyProtection="1">
      <alignment vertical="center"/>
    </xf>
    <xf numFmtId="0" fontId="62" fillId="3" borderId="0" xfId="0" applyFont="1" applyFill="1" applyBorder="1" applyAlignment="1" applyProtection="1"/>
    <xf numFmtId="0" fontId="12" fillId="0" borderId="0" xfId="0" applyFont="1" applyFill="1" applyBorder="1" applyAlignment="1" applyProtection="1">
      <alignment vertical="center"/>
    </xf>
    <xf numFmtId="0" fontId="21" fillId="0" borderId="0" xfId="0" applyFont="1" applyBorder="1" applyProtection="1"/>
    <xf numFmtId="42" fontId="21" fillId="0" borderId="0" xfId="0" applyNumberFormat="1" applyFont="1" applyBorder="1" applyAlignment="1" applyProtection="1">
      <alignment vertical="center"/>
    </xf>
    <xf numFmtId="0" fontId="21" fillId="0" borderId="0" xfId="0" applyFont="1" applyBorder="1" applyAlignment="1" applyProtection="1">
      <alignment horizontal="left" vertical="center"/>
    </xf>
    <xf numFmtId="10" fontId="21" fillId="0" borderId="0" xfId="0" applyNumberFormat="1" applyFont="1" applyBorder="1" applyAlignment="1" applyProtection="1">
      <alignment vertical="center"/>
    </xf>
    <xf numFmtId="0" fontId="31" fillId="0" borderId="0" xfId="0" applyFont="1" applyProtection="1"/>
    <xf numFmtId="0" fontId="25" fillId="0" borderId="0" xfId="0" applyFont="1" applyBorder="1" applyAlignment="1" applyProtection="1">
      <alignment vertical="center"/>
    </xf>
    <xf numFmtId="0" fontId="39" fillId="0" borderId="0" xfId="0" applyFont="1" applyBorder="1" applyProtection="1"/>
    <xf numFmtId="0" fontId="60" fillId="0" borderId="0" xfId="0" applyFont="1" applyProtection="1"/>
    <xf numFmtId="0" fontId="75" fillId="3" borderId="0" xfId="19" applyFont="1" applyFill="1" applyBorder="1" applyAlignment="1" applyProtection="1">
      <alignment horizontal="center" vertical="center"/>
    </xf>
    <xf numFmtId="0" fontId="73" fillId="3" borderId="33" xfId="19" applyFont="1" applyFill="1" applyBorder="1" applyAlignment="1" applyProtection="1">
      <alignment vertical="center"/>
    </xf>
    <xf numFmtId="0" fontId="0" fillId="0" borderId="52" xfId="0" applyBorder="1" applyProtection="1"/>
    <xf numFmtId="0" fontId="24" fillId="0" borderId="0" xfId="0" applyFont="1" applyAlignment="1" applyProtection="1"/>
    <xf numFmtId="0" fontId="15" fillId="0" borderId="0" xfId="0" applyFont="1" applyFill="1" applyBorder="1" applyAlignment="1" applyProtection="1">
      <alignment horizontal="right"/>
    </xf>
    <xf numFmtId="0" fontId="21" fillId="0" borderId="0" xfId="0" applyFont="1" applyAlignment="1" applyProtection="1">
      <alignment horizontal="right" vertical="center"/>
    </xf>
    <xf numFmtId="7" fontId="21" fillId="0" borderId="0" xfId="0" applyNumberFormat="1" applyFont="1" applyAlignment="1" applyProtection="1">
      <alignment vertical="center"/>
    </xf>
    <xf numFmtId="7" fontId="10" fillId="0" borderId="0" xfId="0" applyNumberFormat="1" applyFont="1" applyAlignment="1" applyProtection="1">
      <alignment vertical="center"/>
    </xf>
    <xf numFmtId="1" fontId="10" fillId="3" borderId="0" xfId="0" applyNumberFormat="1" applyFont="1" applyFill="1" applyAlignment="1" applyProtection="1">
      <alignment vertical="center"/>
    </xf>
    <xf numFmtId="0" fontId="0" fillId="4" borderId="0" xfId="0" applyFill="1" applyAlignment="1" applyProtection="1">
      <alignment vertical="center"/>
    </xf>
    <xf numFmtId="0" fontId="21" fillId="0" borderId="0" xfId="0" applyFont="1" applyFill="1" applyBorder="1" applyAlignment="1" applyProtection="1">
      <alignment horizontal="left" vertical="center"/>
    </xf>
    <xf numFmtId="166" fontId="10" fillId="0" borderId="0" xfId="0" applyNumberFormat="1" applyFont="1" applyFill="1" applyBorder="1" applyAlignment="1" applyProtection="1">
      <alignment horizontal="center" vertical="center"/>
    </xf>
    <xf numFmtId="166" fontId="15" fillId="3" borderId="0" xfId="0" applyNumberFormat="1" applyFont="1" applyFill="1" applyBorder="1" applyAlignment="1" applyProtection="1">
      <alignment horizontal="center" vertical="center"/>
    </xf>
    <xf numFmtId="0" fontId="21" fillId="0" borderId="1" xfId="0" applyFont="1" applyBorder="1" applyAlignment="1" applyProtection="1">
      <alignment vertical="center"/>
    </xf>
    <xf numFmtId="0" fontId="21" fillId="0" borderId="0" xfId="0" applyFont="1" applyFill="1" applyBorder="1" applyAlignment="1" applyProtection="1">
      <alignment vertical="center"/>
    </xf>
    <xf numFmtId="0" fontId="60" fillId="0" borderId="0" xfId="0" applyFont="1" applyAlignment="1" applyProtection="1">
      <alignment vertical="center"/>
    </xf>
    <xf numFmtId="0" fontId="42" fillId="3" borderId="0" xfId="0" applyFont="1" applyFill="1" applyBorder="1" applyAlignment="1" applyProtection="1">
      <alignment vertical="center"/>
    </xf>
    <xf numFmtId="0" fontId="49" fillId="3" borderId="0" xfId="0" applyFont="1" applyFill="1" applyBorder="1" applyAlignment="1" applyProtection="1">
      <alignment vertical="center"/>
    </xf>
    <xf numFmtId="0" fontId="42" fillId="3" borderId="0" xfId="0" applyFont="1" applyFill="1" applyBorder="1" applyAlignment="1" applyProtection="1">
      <alignment horizontal="left" vertical="center"/>
    </xf>
    <xf numFmtId="0" fontId="10" fillId="0" borderId="0" xfId="0" applyFont="1" applyFill="1" applyBorder="1" applyAlignment="1" applyProtection="1">
      <alignment vertical="center"/>
    </xf>
    <xf numFmtId="0" fontId="10" fillId="0" borderId="0" xfId="0" applyFont="1" applyFill="1" applyBorder="1" applyProtection="1"/>
    <xf numFmtId="0" fontId="0" fillId="0" borderId="0" xfId="0" applyFill="1" applyBorder="1" applyProtection="1"/>
    <xf numFmtId="0" fontId="60" fillId="0" borderId="0" xfId="0" applyFont="1" applyFill="1" applyBorder="1" applyProtection="1"/>
    <xf numFmtId="0" fontId="26" fillId="0" borderId="0" xfId="0" applyFont="1" applyFill="1" applyBorder="1" applyAlignment="1" applyProtection="1">
      <alignment horizontal="center" vertical="top" wrapText="1"/>
    </xf>
    <xf numFmtId="0" fontId="20" fillId="0" borderId="0" xfId="0" applyFont="1" applyFill="1" applyBorder="1" applyAlignment="1" applyProtection="1"/>
    <xf numFmtId="0" fontId="21" fillId="0" borderId="0" xfId="0" applyFont="1" applyFill="1" applyBorder="1" applyAlignment="1" applyProtection="1">
      <alignment horizontal="center"/>
    </xf>
    <xf numFmtId="0" fontId="0" fillId="0" borderId="0" xfId="0" applyFill="1" applyProtection="1"/>
    <xf numFmtId="0" fontId="15" fillId="0" borderId="0" xfId="0" applyFont="1" applyFill="1" applyAlignment="1" applyProtection="1">
      <alignment horizontal="center"/>
    </xf>
    <xf numFmtId="0" fontId="82" fillId="3" borderId="0" xfId="0" applyFont="1" applyFill="1" applyBorder="1" applyAlignment="1" applyProtection="1">
      <alignment vertical="center" wrapText="1"/>
    </xf>
    <xf numFmtId="0" fontId="57" fillId="0" borderId="0" xfId="0" applyFont="1" applyAlignment="1" applyProtection="1">
      <alignment horizontal="right"/>
    </xf>
    <xf numFmtId="0" fontId="75" fillId="3" borderId="40" xfId="19" applyFont="1" applyFill="1" applyBorder="1" applyAlignment="1" applyProtection="1">
      <alignment vertical="center"/>
    </xf>
    <xf numFmtId="0" fontId="75" fillId="3" borderId="34" xfId="19" applyFont="1" applyFill="1" applyBorder="1" applyAlignment="1" applyProtection="1">
      <alignment vertical="center"/>
    </xf>
    <xf numFmtId="0" fontId="73" fillId="3" borderId="47" xfId="19" applyFont="1" applyFill="1" applyBorder="1" applyAlignment="1" applyProtection="1">
      <alignment vertical="center"/>
    </xf>
    <xf numFmtId="0" fontId="73" fillId="3" borderId="0" xfId="19" applyFont="1" applyFill="1" applyBorder="1" applyAlignment="1" applyProtection="1">
      <alignment vertical="center"/>
    </xf>
    <xf numFmtId="0" fontId="73" fillId="3" borderId="47" xfId="19" applyFont="1" applyFill="1" applyBorder="1" applyAlignment="1" applyProtection="1">
      <alignment horizontal="center" vertical="center"/>
    </xf>
    <xf numFmtId="0" fontId="0" fillId="3" borderId="114" xfId="0" applyFill="1" applyBorder="1" applyProtection="1"/>
    <xf numFmtId="0" fontId="15" fillId="0" borderId="0" xfId="17" applyFont="1" applyFill="1" applyBorder="1" applyAlignment="1" applyProtection="1">
      <alignment wrapText="1"/>
    </xf>
    <xf numFmtId="0" fontId="16" fillId="0" borderId="0" xfId="0" applyFont="1" applyBorder="1" applyProtection="1"/>
    <xf numFmtId="0" fontId="16" fillId="0" borderId="0" xfId="0" quotePrefix="1" applyNumberFormat="1" applyFont="1" applyProtection="1"/>
    <xf numFmtId="0" fontId="73" fillId="3" borderId="39" xfId="19" applyFont="1" applyFill="1" applyBorder="1" applyAlignment="1" applyProtection="1">
      <alignment vertical="center"/>
    </xf>
    <xf numFmtId="0" fontId="73" fillId="3" borderId="40" xfId="19" applyFont="1" applyFill="1" applyBorder="1" applyAlignment="1" applyProtection="1">
      <alignment vertical="center"/>
    </xf>
    <xf numFmtId="0" fontId="16" fillId="0" borderId="0" xfId="0" quotePrefix="1" applyNumberFormat="1" applyFont="1" applyAlignment="1" applyProtection="1">
      <alignment vertical="center"/>
    </xf>
    <xf numFmtId="0" fontId="21" fillId="3" borderId="47" xfId="0" applyFont="1" applyFill="1" applyBorder="1" applyProtection="1"/>
    <xf numFmtId="0" fontId="24" fillId="0" borderId="47" xfId="0" applyFont="1" applyBorder="1" applyAlignment="1" applyProtection="1">
      <alignment vertical="center" wrapText="1"/>
    </xf>
    <xf numFmtId="0" fontId="79" fillId="3" borderId="47" xfId="0" applyFont="1" applyFill="1" applyBorder="1" applyAlignment="1" applyProtection="1"/>
    <xf numFmtId="0" fontId="57" fillId="3" borderId="0" xfId="0" applyFont="1" applyFill="1" applyAlignment="1" applyProtection="1">
      <alignment horizontal="right"/>
    </xf>
    <xf numFmtId="0" fontId="24" fillId="0" borderId="0" xfId="0" applyFont="1" applyAlignment="1" applyProtection="1">
      <alignment vertical="center" wrapText="1"/>
    </xf>
    <xf numFmtId="0" fontId="79" fillId="3" borderId="0" xfId="0" applyFont="1" applyFill="1" applyBorder="1" applyAlignment="1" applyProtection="1"/>
    <xf numFmtId="0" fontId="16" fillId="5" borderId="1" xfId="0" applyFont="1" applyFill="1" applyBorder="1" applyAlignment="1" applyProtection="1">
      <alignment wrapText="1"/>
    </xf>
    <xf numFmtId="0" fontId="0" fillId="3" borderId="0" xfId="0" applyFill="1" applyBorder="1" applyAlignment="1" applyProtection="1">
      <alignment vertical="center"/>
    </xf>
    <xf numFmtId="0" fontId="38" fillId="3" borderId="0" xfId="0" applyFont="1" applyFill="1" applyBorder="1" applyAlignment="1" applyProtection="1">
      <alignment horizontal="center" vertical="center"/>
    </xf>
    <xf numFmtId="0" fontId="57" fillId="3" borderId="38" xfId="0" applyFont="1" applyFill="1" applyBorder="1" applyAlignment="1" applyProtection="1">
      <alignment vertical="center"/>
    </xf>
    <xf numFmtId="0" fontId="57" fillId="3" borderId="39" xfId="0" applyFont="1" applyFill="1" applyBorder="1" applyAlignment="1" applyProtection="1">
      <alignment vertical="center"/>
    </xf>
    <xf numFmtId="0" fontId="16" fillId="5" borderId="2" xfId="0" applyFont="1" applyFill="1" applyBorder="1" applyAlignment="1" applyProtection="1">
      <alignment vertical="center" wrapText="1"/>
    </xf>
    <xf numFmtId="0" fontId="16" fillId="5" borderId="1" xfId="0" applyFont="1" applyFill="1" applyBorder="1" applyAlignment="1" applyProtection="1">
      <alignment vertical="center" wrapText="1"/>
    </xf>
    <xf numFmtId="0" fontId="16" fillId="0" borderId="3" xfId="0" applyFont="1" applyBorder="1" applyProtection="1"/>
    <xf numFmtId="0" fontId="16" fillId="5" borderId="6" xfId="0" applyFont="1" applyFill="1" applyBorder="1" applyProtection="1"/>
    <xf numFmtId="0" fontId="16" fillId="0" borderId="6" xfId="0" applyFont="1" applyBorder="1" applyProtection="1"/>
    <xf numFmtId="0" fontId="16" fillId="0" borderId="0" xfId="0" quotePrefix="1" applyNumberFormat="1" applyFont="1" applyAlignment="1" applyProtection="1">
      <alignment horizontal="left"/>
    </xf>
    <xf numFmtId="49" fontId="16" fillId="0" borderId="0" xfId="0" applyNumberFormat="1" applyFont="1" applyAlignment="1" applyProtection="1">
      <alignment horizontal="left"/>
    </xf>
    <xf numFmtId="0" fontId="63" fillId="0" borderId="0" xfId="0" applyFont="1" applyAlignment="1" applyProtection="1">
      <alignment vertical="center"/>
    </xf>
    <xf numFmtId="0" fontId="16" fillId="0" borderId="0" xfId="0" applyNumberFormat="1" applyFont="1" applyAlignment="1" applyProtection="1">
      <alignment horizontal="left"/>
    </xf>
    <xf numFmtId="0" fontId="16" fillId="5" borderId="1" xfId="0" applyFont="1" applyFill="1" applyBorder="1" applyAlignment="1" applyProtection="1">
      <alignment horizontal="left" vertical="top" wrapText="1"/>
    </xf>
    <xf numFmtId="0" fontId="63" fillId="0" borderId="0" xfId="0" applyFont="1" applyProtection="1"/>
    <xf numFmtId="0" fontId="0" fillId="0" borderId="0" xfId="0" applyBorder="1" applyAlignment="1" applyProtection="1">
      <alignment horizontal="left" vertical="top"/>
    </xf>
    <xf numFmtId="0" fontId="0" fillId="0" borderId="0" xfId="0" applyAlignment="1" applyProtection="1">
      <alignment horizontal="left" vertical="top"/>
    </xf>
    <xf numFmtId="0" fontId="16" fillId="0" borderId="0" xfId="0" quotePrefix="1" applyFont="1" applyProtection="1"/>
    <xf numFmtId="0" fontId="16" fillId="0" borderId="0" xfId="0" applyFont="1" applyAlignment="1" applyProtection="1">
      <alignment horizontal="left" vertical="top"/>
    </xf>
    <xf numFmtId="0" fontId="16" fillId="0" borderId="0" xfId="0" applyFont="1" applyBorder="1" applyAlignment="1" applyProtection="1">
      <alignment horizontal="left" vertical="top"/>
    </xf>
    <xf numFmtId="0" fontId="0" fillId="3" borderId="0" xfId="0" applyFill="1" applyAlignment="1" applyProtection="1">
      <alignment horizontal="left" vertical="top"/>
    </xf>
    <xf numFmtId="0" fontId="20" fillId="3" borderId="0" xfId="0" applyFont="1" applyFill="1" applyBorder="1" applyAlignment="1" applyProtection="1"/>
    <xf numFmtId="49" fontId="48" fillId="3" borderId="61" xfId="0" quotePrefix="1" applyNumberFormat="1" applyFont="1" applyFill="1" applyBorder="1" applyAlignment="1" applyProtection="1">
      <alignment horizontal="center" vertical="center" wrapText="1"/>
      <protection locked="0"/>
    </xf>
    <xf numFmtId="0" fontId="48" fillId="3" borderId="19" xfId="0" applyFont="1" applyFill="1" applyBorder="1" applyAlignment="1" applyProtection="1">
      <alignment horizontal="center" vertical="center"/>
      <protection locked="0"/>
    </xf>
    <xf numFmtId="49" fontId="48" fillId="3" borderId="61" xfId="0" applyNumberFormat="1" applyFont="1" applyFill="1" applyBorder="1" applyAlignment="1" applyProtection="1">
      <alignment horizontal="center" vertical="center" wrapText="1"/>
      <protection locked="0"/>
    </xf>
    <xf numFmtId="49" fontId="48" fillId="3" borderId="62" xfId="0" applyNumberFormat="1" applyFont="1" applyFill="1" applyBorder="1" applyAlignment="1" applyProtection="1">
      <alignment horizontal="center" vertical="center" wrapText="1"/>
      <protection locked="0"/>
    </xf>
    <xf numFmtId="0" fontId="48" fillId="3" borderId="63" xfId="0" applyFont="1" applyFill="1" applyBorder="1" applyAlignment="1" applyProtection="1">
      <alignment horizontal="center" vertical="center"/>
      <protection locked="0"/>
    </xf>
    <xf numFmtId="0" fontId="48" fillId="3" borderId="14" xfId="0" applyFont="1" applyFill="1" applyBorder="1" applyAlignment="1" applyProtection="1">
      <alignment horizontal="center" vertical="center"/>
      <protection locked="0"/>
    </xf>
    <xf numFmtId="1" fontId="48" fillId="3" borderId="14" xfId="0" applyNumberFormat="1" applyFont="1" applyFill="1" applyBorder="1" applyAlignment="1" applyProtection="1">
      <alignment horizontal="center" vertical="center"/>
      <protection locked="0"/>
    </xf>
    <xf numFmtId="0" fontId="69" fillId="3" borderId="0" xfId="0" applyFont="1" applyFill="1" applyBorder="1" applyAlignment="1" applyProtection="1"/>
    <xf numFmtId="49" fontId="21" fillId="3" borderId="0" xfId="0" applyNumberFormat="1" applyFont="1" applyFill="1" applyBorder="1" applyAlignment="1" applyProtection="1"/>
    <xf numFmtId="0" fontId="73" fillId="3" borderId="0" xfId="19" applyFont="1" applyFill="1" applyBorder="1" applyAlignment="1" applyProtection="1">
      <alignment horizontal="center" vertical="center"/>
    </xf>
    <xf numFmtId="0" fontId="80" fillId="3" borderId="51" xfId="19" applyFont="1" applyFill="1" applyBorder="1" applyAlignment="1" applyProtection="1">
      <alignment horizontal="center" vertical="center" wrapText="1"/>
    </xf>
    <xf numFmtId="0" fontId="75" fillId="3" borderId="33" xfId="19" applyFont="1" applyFill="1" applyBorder="1" applyAlignment="1" applyProtection="1">
      <alignment horizontal="center" vertical="center" wrapText="1"/>
    </xf>
    <xf numFmtId="0" fontId="75" fillId="3" borderId="33" xfId="19" applyFont="1" applyFill="1" applyBorder="1" applyAlignment="1" applyProtection="1">
      <alignment vertical="center" wrapText="1"/>
    </xf>
    <xf numFmtId="0" fontId="75" fillId="3" borderId="33" xfId="19" applyFont="1" applyFill="1" applyBorder="1" applyAlignment="1" applyProtection="1">
      <alignment vertical="center"/>
    </xf>
    <xf numFmtId="0" fontId="16" fillId="3" borderId="0" xfId="0" applyFont="1" applyFill="1" applyAlignment="1" applyProtection="1">
      <alignment horizontal="center"/>
    </xf>
    <xf numFmtId="0" fontId="0" fillId="3" borderId="0" xfId="0" applyFill="1" applyBorder="1" applyAlignment="1" applyProtection="1">
      <alignment horizontal="center" vertical="center"/>
    </xf>
    <xf numFmtId="0" fontId="34" fillId="3" borderId="0" xfId="0" applyFont="1" applyFill="1" applyBorder="1" applyAlignment="1" applyProtection="1">
      <alignment horizontal="center"/>
    </xf>
    <xf numFmtId="0" fontId="42" fillId="8" borderId="0" xfId="0" applyFont="1" applyFill="1" applyBorder="1" applyAlignment="1" applyProtection="1">
      <alignment horizontal="center"/>
    </xf>
    <xf numFmtId="0" fontId="10" fillId="0" borderId="0" xfId="0" applyFont="1" applyAlignment="1" applyProtection="1">
      <alignment horizontal="center"/>
    </xf>
    <xf numFmtId="0" fontId="16" fillId="0" borderId="2" xfId="0" applyFont="1" applyBorder="1" applyAlignment="1" applyProtection="1">
      <alignment horizontal="center"/>
    </xf>
    <xf numFmtId="0" fontId="21" fillId="0" borderId="1" xfId="0" applyFont="1" applyBorder="1" applyAlignment="1" applyProtection="1">
      <alignment horizontal="center"/>
    </xf>
    <xf numFmtId="0" fontId="16" fillId="3" borderId="1" xfId="0" applyFont="1" applyFill="1" applyBorder="1" applyAlignment="1" applyProtection="1">
      <alignment horizontal="center"/>
    </xf>
    <xf numFmtId="0" fontId="21" fillId="0" borderId="0" xfId="0" applyFont="1" applyBorder="1" applyAlignment="1" applyProtection="1">
      <alignment horizontal="center"/>
    </xf>
    <xf numFmtId="49" fontId="16" fillId="3" borderId="0" xfId="0" applyNumberFormat="1" applyFont="1" applyFill="1" applyAlignment="1" applyProtection="1"/>
    <xf numFmtId="166" fontId="16" fillId="3" borderId="0" xfId="0" applyNumberFormat="1" applyFont="1" applyFill="1" applyAlignment="1" applyProtection="1">
      <alignment horizontal="center"/>
    </xf>
    <xf numFmtId="0" fontId="21" fillId="0" borderId="47" xfId="0" applyFont="1" applyBorder="1" applyProtection="1"/>
    <xf numFmtId="0" fontId="42" fillId="8" borderId="0" xfId="0" applyFont="1" applyFill="1" applyBorder="1" applyAlignment="1" applyProtection="1"/>
    <xf numFmtId="0" fontId="20" fillId="0" borderId="0" xfId="0" applyFont="1" applyFill="1" applyBorder="1" applyAlignment="1" applyProtection="1">
      <alignment vertical="center"/>
    </xf>
    <xf numFmtId="1" fontId="16" fillId="0" borderId="1" xfId="0" applyNumberFormat="1" applyFont="1" applyBorder="1" applyAlignment="1" applyProtection="1">
      <alignment horizontal="center" vertical="center"/>
    </xf>
    <xf numFmtId="1" fontId="16" fillId="0" borderId="3" xfId="0" applyNumberFormat="1" applyFont="1" applyBorder="1" applyAlignment="1" applyProtection="1">
      <alignment vertical="center"/>
    </xf>
    <xf numFmtId="0" fontId="16" fillId="5" borderId="6" xfId="0" applyFont="1" applyFill="1" applyBorder="1" applyAlignment="1" applyProtection="1">
      <alignment vertical="center"/>
    </xf>
    <xf numFmtId="0" fontId="16" fillId="0" borderId="6" xfId="0" applyFont="1" applyBorder="1" applyAlignment="1" applyProtection="1">
      <alignment vertical="center"/>
    </xf>
    <xf numFmtId="0" fontId="12" fillId="0" borderId="0" xfId="0" applyFont="1" applyFill="1" applyBorder="1" applyAlignment="1" applyProtection="1">
      <alignment horizontal="center" vertical="center"/>
    </xf>
    <xf numFmtId="0" fontId="10" fillId="3" borderId="0" xfId="0" applyFont="1" applyFill="1" applyAlignment="1" applyProtection="1">
      <alignment vertical="top"/>
    </xf>
    <xf numFmtId="0" fontId="9" fillId="0" borderId="0" xfId="9" applyProtection="1"/>
    <xf numFmtId="0" fontId="9" fillId="0" borderId="0" xfId="9" applyAlignment="1" applyProtection="1">
      <alignment horizontal="center"/>
    </xf>
    <xf numFmtId="0" fontId="9" fillId="0" borderId="0" xfId="9" applyBorder="1" applyProtection="1"/>
    <xf numFmtId="0" fontId="7" fillId="0" borderId="0" xfId="9" applyFont="1" applyBorder="1" applyProtection="1"/>
    <xf numFmtId="0" fontId="69" fillId="3" borderId="94" xfId="9" applyFont="1" applyFill="1" applyBorder="1" applyProtection="1"/>
    <xf numFmtId="0" fontId="69" fillId="3" borderId="110" xfId="9" applyFont="1" applyFill="1" applyBorder="1" applyProtection="1"/>
    <xf numFmtId="0" fontId="16" fillId="0" borderId="0" xfId="9" applyFont="1" applyAlignment="1" applyProtection="1">
      <alignment horizontal="center"/>
    </xf>
    <xf numFmtId="0" fontId="7" fillId="0" borderId="0" xfId="9" applyFont="1" applyAlignment="1" applyProtection="1">
      <alignment horizontal="center"/>
    </xf>
    <xf numFmtId="0" fontId="69" fillId="3" borderId="109" xfId="9" applyFont="1" applyFill="1" applyBorder="1" applyProtection="1"/>
    <xf numFmtId="0" fontId="69" fillId="3" borderId="0" xfId="9" applyFont="1" applyFill="1" applyBorder="1" applyProtection="1"/>
    <xf numFmtId="0" fontId="69" fillId="3" borderId="0" xfId="9" applyFont="1" applyFill="1" applyBorder="1" applyAlignment="1" applyProtection="1">
      <alignment vertical="center"/>
    </xf>
    <xf numFmtId="0" fontId="58" fillId="3" borderId="0" xfId="9" quotePrefix="1" applyFont="1" applyFill="1" applyBorder="1" applyAlignment="1" applyProtection="1">
      <alignment horizontal="center" vertical="top" wrapText="1"/>
    </xf>
    <xf numFmtId="0" fontId="58" fillId="3" borderId="0" xfId="9" quotePrefix="1" applyFont="1" applyFill="1" applyBorder="1" applyAlignment="1" applyProtection="1">
      <alignment vertical="top" wrapText="1"/>
    </xf>
    <xf numFmtId="0" fontId="69" fillId="3" borderId="0" xfId="9" applyFont="1" applyFill="1" applyBorder="1" applyAlignment="1" applyProtection="1">
      <alignment vertical="center" wrapText="1"/>
    </xf>
    <xf numFmtId="5" fontId="9" fillId="0" borderId="0" xfId="9" applyNumberFormat="1" applyAlignment="1" applyProtection="1">
      <alignment horizontal="center"/>
    </xf>
    <xf numFmtId="0" fontId="69" fillId="3" borderId="110" xfId="9" applyFont="1" applyFill="1" applyBorder="1" applyAlignment="1" applyProtection="1">
      <alignment vertical="top" wrapText="1"/>
    </xf>
    <xf numFmtId="0" fontId="58" fillId="3" borderId="0" xfId="9" applyFont="1" applyFill="1" applyBorder="1" applyAlignment="1" applyProtection="1">
      <alignment vertical="center"/>
    </xf>
    <xf numFmtId="0" fontId="69" fillId="3" borderId="111" xfId="9" applyFont="1" applyFill="1" applyBorder="1" applyAlignment="1" applyProtection="1">
      <alignment vertical="top" wrapText="1"/>
    </xf>
    <xf numFmtId="0" fontId="6" fillId="0" borderId="0" xfId="9" applyFont="1" applyProtection="1"/>
    <xf numFmtId="0" fontId="69" fillId="3" borderId="110" xfId="9" applyFont="1" applyFill="1" applyBorder="1" applyAlignment="1" applyProtection="1"/>
    <xf numFmtId="0" fontId="69" fillId="0" borderId="0" xfId="9" applyFont="1" applyBorder="1" applyProtection="1"/>
    <xf numFmtId="0" fontId="8" fillId="0" borderId="0" xfId="9" applyFont="1" applyAlignment="1" applyProtection="1">
      <alignment horizontal="center"/>
    </xf>
    <xf numFmtId="0" fontId="58" fillId="3" borderId="0" xfId="9" applyFont="1" applyFill="1" applyBorder="1" applyAlignment="1" applyProtection="1">
      <alignment horizontal="center" vertical="center"/>
    </xf>
    <xf numFmtId="0" fontId="69" fillId="3" borderId="0" xfId="9" applyFont="1" applyFill="1" applyBorder="1" applyAlignment="1" applyProtection="1">
      <alignment horizontal="center"/>
    </xf>
    <xf numFmtId="0" fontId="69" fillId="3" borderId="0" xfId="9" applyFont="1" applyFill="1" applyBorder="1" applyAlignment="1" applyProtection="1"/>
    <xf numFmtId="0" fontId="58" fillId="3" borderId="0" xfId="9" quotePrefix="1" applyFont="1" applyFill="1" applyBorder="1" applyAlignment="1" applyProtection="1">
      <alignment horizontal="center" vertical="center" wrapText="1"/>
    </xf>
    <xf numFmtId="0" fontId="69" fillId="3" borderId="111" xfId="9" applyFont="1" applyFill="1" applyBorder="1" applyAlignment="1" applyProtection="1"/>
    <xf numFmtId="0" fontId="69" fillId="0" borderId="0" xfId="0" applyFont="1" applyProtection="1"/>
    <xf numFmtId="0" fontId="69" fillId="3" borderId="0" xfId="9" applyFont="1" applyFill="1" applyBorder="1" applyAlignment="1" applyProtection="1">
      <alignment vertical="top" wrapText="1"/>
    </xf>
    <xf numFmtId="0" fontId="69" fillId="3" borderId="99" xfId="9" applyFont="1" applyFill="1" applyBorder="1" applyAlignment="1" applyProtection="1">
      <alignment horizontal="center" vertical="center" wrapText="1"/>
    </xf>
    <xf numFmtId="0" fontId="69" fillId="3" borderId="111" xfId="9" applyFont="1" applyFill="1" applyBorder="1" applyAlignment="1" applyProtection="1">
      <alignment vertical="center" wrapText="1"/>
    </xf>
    <xf numFmtId="0" fontId="7" fillId="0" borderId="0" xfId="9" applyFont="1" applyBorder="1" applyAlignment="1" applyProtection="1">
      <alignment horizontal="center"/>
    </xf>
    <xf numFmtId="0" fontId="69" fillId="3" borderId="111" xfId="9" applyFont="1" applyFill="1" applyBorder="1" applyAlignment="1" applyProtection="1">
      <alignment vertical="center"/>
    </xf>
    <xf numFmtId="0" fontId="69" fillId="3" borderId="94" xfId="9" applyFont="1" applyFill="1" applyBorder="1" applyAlignment="1" applyProtection="1">
      <alignment vertical="top" wrapText="1"/>
    </xf>
    <xf numFmtId="0" fontId="69" fillId="0" borderId="109" xfId="9" applyFont="1" applyBorder="1" applyProtection="1"/>
    <xf numFmtId="0" fontId="69" fillId="3" borderId="109" xfId="9" applyFont="1" applyFill="1" applyBorder="1" applyAlignment="1" applyProtection="1">
      <alignment horizontal="right" vertical="top" wrapText="1"/>
    </xf>
    <xf numFmtId="0" fontId="69" fillId="3" borderId="109" xfId="9" applyFont="1" applyFill="1" applyBorder="1" applyAlignment="1" applyProtection="1">
      <alignment vertical="top" wrapText="1"/>
    </xf>
    <xf numFmtId="0" fontId="69" fillId="0" borderId="99" xfId="9" applyFont="1" applyBorder="1" applyProtection="1"/>
    <xf numFmtId="0" fontId="69" fillId="3" borderId="0" xfId="9" applyFont="1" applyFill="1" applyBorder="1" applyAlignment="1" applyProtection="1">
      <alignment horizontal="center" vertical="center"/>
    </xf>
    <xf numFmtId="0" fontId="69" fillId="3" borderId="113" xfId="9" applyFont="1" applyFill="1" applyBorder="1" applyAlignment="1" applyProtection="1">
      <alignment vertical="top" wrapText="1"/>
    </xf>
    <xf numFmtId="0" fontId="69" fillId="3" borderId="99" xfId="9" applyFont="1" applyFill="1" applyBorder="1" applyAlignment="1" applyProtection="1">
      <alignment vertical="top" wrapText="1"/>
    </xf>
    <xf numFmtId="0" fontId="7" fillId="0" borderId="1" xfId="9" applyFont="1" applyBorder="1" applyAlignment="1" applyProtection="1">
      <alignment horizontal="center"/>
    </xf>
    <xf numFmtId="0" fontId="69" fillId="3" borderId="111" xfId="9" applyFont="1" applyFill="1" applyBorder="1" applyAlignment="1" applyProtection="1">
      <alignment horizontal="right" vertical="top" wrapText="1"/>
    </xf>
    <xf numFmtId="5" fontId="7" fillId="0" borderId="0" xfId="9" applyNumberFormat="1" applyFont="1" applyAlignment="1" applyProtection="1">
      <alignment horizontal="center"/>
    </xf>
    <xf numFmtId="167" fontId="16" fillId="0" borderId="0" xfId="2" applyNumberFormat="1" applyFont="1" applyAlignment="1" applyProtection="1">
      <alignment horizontal="center"/>
    </xf>
    <xf numFmtId="166" fontId="7" fillId="0" borderId="0" xfId="9" applyNumberFormat="1" applyFont="1" applyAlignment="1" applyProtection="1">
      <alignment horizontal="center"/>
    </xf>
    <xf numFmtId="0" fontId="41" fillId="0" borderId="0" xfId="9" applyFont="1" applyBorder="1" applyAlignment="1" applyProtection="1"/>
    <xf numFmtId="0" fontId="9" fillId="0" borderId="0" xfId="9" applyAlignment="1" applyProtection="1">
      <alignment horizontal="center" vertical="center"/>
    </xf>
    <xf numFmtId="0" fontId="9" fillId="0" borderId="0" xfId="9" applyAlignment="1" applyProtection="1">
      <alignment vertical="center"/>
    </xf>
    <xf numFmtId="0" fontId="7" fillId="0" borderId="0" xfId="9" applyFont="1" applyAlignment="1" applyProtection="1">
      <alignment horizontal="center" vertical="center"/>
    </xf>
    <xf numFmtId="0" fontId="44" fillId="0" borderId="0" xfId="9" applyFont="1" applyBorder="1" applyAlignment="1" applyProtection="1"/>
    <xf numFmtId="0" fontId="84" fillId="3" borderId="110" xfId="9" applyFont="1" applyFill="1" applyBorder="1" applyAlignment="1" applyProtection="1"/>
    <xf numFmtId="0" fontId="84" fillId="3" borderId="0" xfId="9" applyFont="1" applyFill="1" applyBorder="1" applyAlignment="1" applyProtection="1"/>
    <xf numFmtId="0" fontId="9" fillId="0" borderId="0" xfId="9" applyAlignment="1" applyProtection="1"/>
    <xf numFmtId="0" fontId="84" fillId="3" borderId="111" xfId="9" applyFont="1" applyFill="1" applyBorder="1" applyAlignment="1" applyProtection="1"/>
    <xf numFmtId="0" fontId="69" fillId="0" borderId="0" xfId="0" applyFont="1" applyAlignment="1" applyProtection="1">
      <alignment wrapText="1"/>
    </xf>
    <xf numFmtId="0" fontId="69" fillId="3" borderId="110" xfId="9" applyFont="1" applyFill="1" applyBorder="1" applyAlignment="1" applyProtection="1">
      <alignment vertical="center"/>
    </xf>
    <xf numFmtId="0" fontId="69" fillId="3" borderId="110" xfId="9" applyFont="1" applyFill="1" applyBorder="1" applyAlignment="1" applyProtection="1">
      <alignment horizontal="left"/>
    </xf>
    <xf numFmtId="0" fontId="84" fillId="3" borderId="110" xfId="9" applyFont="1" applyFill="1" applyBorder="1" applyAlignment="1" applyProtection="1">
      <alignment horizontal="left"/>
    </xf>
    <xf numFmtId="0" fontId="69" fillId="3" borderId="0" xfId="9" applyFont="1" applyFill="1" applyBorder="1" applyAlignment="1" applyProtection="1">
      <alignment horizontal="left"/>
    </xf>
    <xf numFmtId="0" fontId="84" fillId="3" borderId="0" xfId="9" applyFont="1" applyFill="1" applyBorder="1" applyAlignment="1" applyProtection="1">
      <alignment horizontal="left"/>
    </xf>
    <xf numFmtId="0" fontId="69" fillId="3" borderId="111" xfId="9" applyFont="1" applyFill="1" applyBorder="1" applyAlignment="1" applyProtection="1">
      <alignment horizontal="left"/>
    </xf>
    <xf numFmtId="0" fontId="84" fillId="3" borderId="111" xfId="9" applyFont="1" applyFill="1" applyBorder="1" applyAlignment="1" applyProtection="1">
      <alignment horizontal="left"/>
    </xf>
    <xf numFmtId="0" fontId="69" fillId="3" borderId="110" xfId="9" applyFont="1" applyFill="1" applyBorder="1" applyAlignment="1" applyProtection="1">
      <alignment horizontal="left" vertical="top"/>
    </xf>
    <xf numFmtId="0" fontId="84" fillId="3" borderId="110" xfId="9" applyFont="1" applyFill="1" applyBorder="1" applyAlignment="1" applyProtection="1">
      <alignment horizontal="left" vertical="top"/>
    </xf>
    <xf numFmtId="0" fontId="84" fillId="3" borderId="0" xfId="9" applyFont="1" applyFill="1" applyBorder="1" applyAlignment="1" applyProtection="1">
      <alignment horizontal="left" vertical="top"/>
    </xf>
    <xf numFmtId="0" fontId="69" fillId="3" borderId="111" xfId="9" applyFont="1" applyFill="1" applyBorder="1" applyAlignment="1" applyProtection="1">
      <alignment horizontal="left" vertical="top"/>
    </xf>
    <xf numFmtId="0" fontId="84" fillId="3" borderId="111" xfId="9" applyFont="1" applyFill="1" applyBorder="1" applyAlignment="1" applyProtection="1">
      <alignment horizontal="left" vertical="top"/>
    </xf>
    <xf numFmtId="0" fontId="85" fillId="3" borderId="0" xfId="9" applyFont="1" applyFill="1" applyBorder="1" applyAlignment="1" applyProtection="1">
      <alignment vertical="center"/>
    </xf>
    <xf numFmtId="9" fontId="0" fillId="0" borderId="0" xfId="10" applyFont="1" applyAlignment="1" applyProtection="1">
      <alignment horizontal="center"/>
    </xf>
    <xf numFmtId="0" fontId="58" fillId="3" borderId="0" xfId="9" quotePrefix="1" applyFont="1" applyFill="1" applyBorder="1" applyAlignment="1" applyProtection="1">
      <alignment vertical="center"/>
    </xf>
    <xf numFmtId="166" fontId="9" fillId="0" borderId="0" xfId="9" applyNumberFormat="1" applyAlignment="1" applyProtection="1">
      <alignment horizontal="center"/>
    </xf>
    <xf numFmtId="0" fontId="68" fillId="0" borderId="0" xfId="0" applyFont="1" applyFill="1" applyBorder="1" applyAlignment="1" applyProtection="1">
      <alignment horizontal="right" vertical="center"/>
    </xf>
    <xf numFmtId="0" fontId="69" fillId="3" borderId="0" xfId="0" applyFont="1" applyFill="1" applyBorder="1" applyProtection="1"/>
    <xf numFmtId="0" fontId="61" fillId="0" borderId="0" xfId="0" applyFont="1" applyProtection="1"/>
    <xf numFmtId="0" fontId="61" fillId="0" borderId="47" xfId="0" applyFont="1" applyBorder="1" applyProtection="1"/>
    <xf numFmtId="0" fontId="21" fillId="0" borderId="0" xfId="0" applyFont="1" applyFill="1" applyProtection="1"/>
    <xf numFmtId="0" fontId="21" fillId="0" borderId="0" xfId="0" applyFont="1" applyAlignment="1" applyProtection="1"/>
    <xf numFmtId="1" fontId="69" fillId="3" borderId="19" xfId="0" applyNumberFormat="1" applyFont="1" applyFill="1" applyBorder="1" applyAlignment="1" applyProtection="1">
      <alignment horizontal="center" vertical="center"/>
      <protection locked="0"/>
    </xf>
    <xf numFmtId="0" fontId="60" fillId="3" borderId="0" xfId="0" applyFont="1" applyFill="1" applyProtection="1"/>
    <xf numFmtId="0" fontId="34" fillId="3" borderId="0" xfId="9" applyFont="1" applyFill="1" applyBorder="1" applyAlignment="1" applyProtection="1">
      <alignment horizontal="center" vertical="top" wrapText="1"/>
    </xf>
    <xf numFmtId="0" fontId="9" fillId="3" borderId="0" xfId="9" applyFill="1" applyProtection="1"/>
    <xf numFmtId="0" fontId="65" fillId="3" borderId="0" xfId="9" applyFont="1" applyFill="1" applyBorder="1" applyAlignment="1" applyProtection="1">
      <alignment horizontal="left"/>
    </xf>
    <xf numFmtId="0" fontId="63" fillId="3" borderId="0" xfId="0" applyFont="1" applyFill="1" applyProtection="1"/>
    <xf numFmtId="0" fontId="6" fillId="3" borderId="0" xfId="9" applyFont="1" applyFill="1" applyProtection="1"/>
    <xf numFmtId="0" fontId="65" fillId="3" borderId="0" xfId="9" applyFont="1" applyFill="1" applyBorder="1" applyAlignment="1" applyProtection="1">
      <alignment horizontal="left" vertical="center"/>
    </xf>
    <xf numFmtId="0" fontId="69" fillId="3" borderId="104" xfId="9" applyFont="1" applyFill="1" applyBorder="1" applyProtection="1"/>
    <xf numFmtId="0" fontId="57" fillId="3" borderId="0" xfId="0" applyFont="1" applyFill="1" applyBorder="1" applyProtection="1"/>
    <xf numFmtId="0" fontId="9" fillId="0" borderId="52" xfId="9" applyBorder="1" applyProtection="1"/>
    <xf numFmtId="0" fontId="12" fillId="3" borderId="47" xfId="0" applyFont="1" applyFill="1" applyBorder="1" applyAlignment="1">
      <alignment horizontal="center"/>
    </xf>
    <xf numFmtId="164" fontId="21" fillId="3" borderId="0" xfId="0" applyNumberFormat="1" applyFont="1" applyFill="1" applyAlignment="1" applyProtection="1">
      <alignment horizontal="center" vertical="center"/>
    </xf>
    <xf numFmtId="49" fontId="21" fillId="3" borderId="0" xfId="0" applyNumberFormat="1" applyFont="1" applyFill="1" applyProtection="1"/>
    <xf numFmtId="49" fontId="21" fillId="3" borderId="0" xfId="0" applyNumberFormat="1" applyFont="1" applyFill="1" applyAlignment="1" applyProtection="1"/>
    <xf numFmtId="164" fontId="21" fillId="3" borderId="0" xfId="0" applyNumberFormat="1" applyFont="1" applyFill="1" applyAlignment="1" applyProtection="1">
      <alignment horizontal="center"/>
    </xf>
    <xf numFmtId="166" fontId="21" fillId="3" borderId="0" xfId="0" applyNumberFormat="1" applyFont="1" applyFill="1" applyAlignment="1" applyProtection="1">
      <alignment horizontal="center"/>
    </xf>
    <xf numFmtId="1" fontId="69" fillId="3" borderId="17" xfId="0" applyNumberFormat="1" applyFont="1" applyFill="1" applyBorder="1" applyAlignment="1" applyProtection="1">
      <alignment horizontal="center" vertical="center"/>
      <protection locked="0"/>
    </xf>
    <xf numFmtId="0" fontId="69" fillId="3" borderId="17" xfId="0" applyFont="1" applyFill="1" applyBorder="1" applyAlignment="1" applyProtection="1">
      <alignment horizontal="center" vertical="center"/>
      <protection locked="0"/>
    </xf>
    <xf numFmtId="0" fontId="69" fillId="3" borderId="19" xfId="0" applyFont="1" applyFill="1" applyBorder="1" applyAlignment="1" applyProtection="1">
      <alignment horizontal="center" vertical="center"/>
      <protection locked="0"/>
    </xf>
    <xf numFmtId="0" fontId="69" fillId="3" borderId="141" xfId="9" applyFont="1" applyFill="1" applyBorder="1" applyProtection="1"/>
    <xf numFmtId="0" fontId="69" fillId="3" borderId="142" xfId="9" applyFont="1" applyFill="1" applyBorder="1" applyProtection="1"/>
    <xf numFmtId="0" fontId="69" fillId="3" borderId="46" xfId="9" applyFont="1" applyFill="1" applyBorder="1" applyProtection="1"/>
    <xf numFmtId="0" fontId="58" fillId="3" borderId="55" xfId="9" applyFont="1" applyFill="1" applyBorder="1" applyAlignment="1" applyProtection="1">
      <alignment vertical="center" wrapText="1"/>
    </xf>
    <xf numFmtId="0" fontId="58" fillId="3" borderId="55" xfId="9" applyFont="1" applyFill="1" applyBorder="1" applyAlignment="1" applyProtection="1">
      <alignment vertical="top" wrapText="1"/>
    </xf>
    <xf numFmtId="0" fontId="69" fillId="3" borderId="48" xfId="9" applyFont="1" applyFill="1" applyBorder="1" applyProtection="1"/>
    <xf numFmtId="0" fontId="69" fillId="3" borderId="47" xfId="9" applyFont="1" applyFill="1" applyBorder="1" applyProtection="1"/>
    <xf numFmtId="0" fontId="69" fillId="3" borderId="58" xfId="9" applyFont="1" applyFill="1" applyBorder="1" applyAlignment="1" applyProtection="1">
      <alignment vertical="top" wrapText="1"/>
    </xf>
    <xf numFmtId="0" fontId="69" fillId="3" borderId="57" xfId="9" applyFont="1" applyFill="1" applyBorder="1" applyProtection="1"/>
    <xf numFmtId="0" fontId="69" fillId="3" borderId="52" xfId="9" applyFont="1" applyFill="1" applyBorder="1" applyProtection="1"/>
    <xf numFmtId="0" fontId="69" fillId="3" borderId="52" xfId="9" applyFont="1" applyFill="1" applyBorder="1" applyAlignment="1" applyProtection="1">
      <alignment vertical="top" wrapText="1"/>
    </xf>
    <xf numFmtId="0" fontId="69" fillId="3" borderId="59" xfId="9" applyFont="1" applyFill="1" applyBorder="1" applyAlignment="1" applyProtection="1">
      <alignment vertical="top" wrapText="1"/>
    </xf>
    <xf numFmtId="0" fontId="58" fillId="3" borderId="55" xfId="9" applyFont="1" applyFill="1" applyBorder="1" applyAlignment="1" applyProtection="1">
      <alignment vertical="center"/>
    </xf>
    <xf numFmtId="0" fontId="69" fillId="3" borderId="47" xfId="9" applyFont="1" applyFill="1" applyBorder="1" applyAlignment="1" applyProtection="1">
      <alignment vertical="top" wrapText="1"/>
    </xf>
    <xf numFmtId="0" fontId="69" fillId="10" borderId="57" xfId="9" applyFont="1" applyFill="1" applyBorder="1" applyAlignment="1" applyProtection="1">
      <alignment vertical="center" wrapText="1"/>
    </xf>
    <xf numFmtId="0" fontId="69" fillId="10" borderId="52" xfId="9" applyFont="1" applyFill="1" applyBorder="1" applyAlignment="1" applyProtection="1">
      <alignment vertical="center" wrapText="1"/>
    </xf>
    <xf numFmtId="0" fontId="69" fillId="10" borderId="59" xfId="9" applyFont="1" applyFill="1" applyBorder="1" applyAlignment="1" applyProtection="1">
      <alignment vertical="center" wrapText="1"/>
    </xf>
    <xf numFmtId="0" fontId="69" fillId="10" borderId="48" xfId="9" applyFont="1" applyFill="1" applyBorder="1" applyAlignment="1" applyProtection="1">
      <alignment vertical="center" wrapText="1"/>
    </xf>
    <xf numFmtId="0" fontId="69" fillId="10" borderId="47" xfId="9" applyFont="1" applyFill="1" applyBorder="1" applyAlignment="1" applyProtection="1">
      <alignment vertical="center" wrapText="1"/>
    </xf>
    <xf numFmtId="0" fontId="69" fillId="10" borderId="58" xfId="9" applyFont="1" applyFill="1" applyBorder="1" applyAlignment="1" applyProtection="1">
      <alignment vertical="center" wrapText="1"/>
    </xf>
    <xf numFmtId="0" fontId="21" fillId="0" borderId="0" xfId="0" applyFont="1" applyAlignment="1">
      <alignment horizontal="left" vertical="top"/>
    </xf>
    <xf numFmtId="0" fontId="21" fillId="0" borderId="0" xfId="0" applyFont="1" applyBorder="1" applyAlignment="1" applyProtection="1">
      <alignment horizontal="center" vertical="center"/>
    </xf>
    <xf numFmtId="49" fontId="21" fillId="3" borderId="0" xfId="0" applyNumberFormat="1" applyFont="1" applyFill="1" applyBorder="1" applyAlignment="1" applyProtection="1">
      <alignment horizontal="center"/>
    </xf>
    <xf numFmtId="9" fontId="34" fillId="7" borderId="1" xfId="0" applyNumberFormat="1" applyFont="1" applyFill="1" applyBorder="1" applyAlignment="1" applyProtection="1">
      <alignment horizontal="center" vertical="center"/>
    </xf>
    <xf numFmtId="9" fontId="34" fillId="7" borderId="1" xfId="0" quotePrefix="1" applyNumberFormat="1" applyFont="1" applyFill="1" applyBorder="1" applyAlignment="1" applyProtection="1">
      <alignment horizontal="center" vertical="center"/>
    </xf>
    <xf numFmtId="0" fontId="69" fillId="0" borderId="0" xfId="9" applyFont="1" applyBorder="1" applyAlignment="1" applyProtection="1">
      <alignment horizontal="left" wrapText="1"/>
    </xf>
    <xf numFmtId="0" fontId="69" fillId="0" borderId="0" xfId="9" applyFont="1" applyBorder="1" applyAlignment="1" applyProtection="1">
      <alignment horizontal="left" vertical="top" wrapText="1"/>
    </xf>
    <xf numFmtId="0" fontId="65" fillId="0" borderId="0" xfId="9" applyFont="1" applyBorder="1" applyAlignment="1" applyProtection="1">
      <alignment horizontal="left"/>
    </xf>
    <xf numFmtId="0" fontId="33" fillId="0" borderId="0" xfId="19" applyFont="1" applyFill="1" applyBorder="1" applyAlignment="1" applyProtection="1">
      <alignment horizontal="right" vertical="center"/>
    </xf>
    <xf numFmtId="0" fontId="69" fillId="3" borderId="0" xfId="9" applyFont="1" applyFill="1" applyBorder="1" applyAlignment="1" applyProtection="1">
      <alignment horizontal="right" vertical="top" wrapText="1"/>
    </xf>
    <xf numFmtId="0" fontId="69" fillId="3" borderId="0" xfId="9" applyFont="1" applyFill="1" applyBorder="1" applyAlignment="1" applyProtection="1">
      <alignment horizontal="left" vertical="top" wrapText="1"/>
    </xf>
    <xf numFmtId="0" fontId="58" fillId="3" borderId="0" xfId="9" applyFont="1" applyFill="1" applyBorder="1" applyAlignment="1" applyProtection="1">
      <alignment horizontal="center" vertical="center" wrapText="1"/>
    </xf>
    <xf numFmtId="0" fontId="65" fillId="0" borderId="0" xfId="9" applyFont="1" applyBorder="1" applyAlignment="1" applyProtection="1">
      <alignment horizontal="left" vertical="center"/>
    </xf>
    <xf numFmtId="0" fontId="47" fillId="0" borderId="0" xfId="19" applyFont="1" applyFill="1" applyBorder="1" applyAlignment="1" applyProtection="1">
      <alignment horizontal="right" vertical="center"/>
    </xf>
    <xf numFmtId="0" fontId="34" fillId="3" borderId="0" xfId="0" applyFont="1" applyFill="1" applyBorder="1" applyAlignment="1" applyProtection="1">
      <alignment vertical="center"/>
    </xf>
    <xf numFmtId="0" fontId="57" fillId="8" borderId="22" xfId="19" applyFont="1" applyFill="1" applyBorder="1" applyAlignment="1" applyProtection="1">
      <alignment vertical="top" wrapText="1"/>
    </xf>
    <xf numFmtId="0" fontId="21" fillId="0" borderId="31" xfId="0" applyFont="1" applyBorder="1" applyProtection="1"/>
    <xf numFmtId="0" fontId="20" fillId="3" borderId="0" xfId="0" applyFont="1" applyFill="1" applyProtection="1"/>
    <xf numFmtId="0" fontId="10" fillId="0" borderId="0" xfId="0" applyFont="1" applyBorder="1" applyAlignment="1" applyProtection="1">
      <alignment horizontal="center"/>
    </xf>
    <xf numFmtId="0" fontId="59" fillId="3" borderId="38" xfId="0" applyFont="1" applyFill="1" applyBorder="1" applyAlignment="1" applyProtection="1">
      <alignment vertical="center"/>
    </xf>
    <xf numFmtId="0" fontId="59" fillId="3" borderId="39" xfId="0" applyFont="1" applyFill="1" applyBorder="1" applyAlignment="1" applyProtection="1">
      <alignment vertical="center"/>
    </xf>
    <xf numFmtId="0" fontId="21" fillId="0" borderId="0" xfId="0" applyFont="1" applyAlignment="1">
      <alignment horizontal="center"/>
    </xf>
    <xf numFmtId="0" fontId="21" fillId="0" borderId="1" xfId="0" applyFont="1" applyBorder="1" applyAlignment="1">
      <alignment horizontal="center"/>
    </xf>
    <xf numFmtId="0" fontId="21" fillId="0" borderId="1" xfId="0" applyFont="1" applyBorder="1"/>
    <xf numFmtId="0" fontId="58" fillId="0" borderId="0" xfId="9" applyFont="1" applyBorder="1" applyAlignment="1" applyProtection="1">
      <alignment horizontal="center" vertical="center" wrapText="1"/>
    </xf>
    <xf numFmtId="0" fontId="56" fillId="0" borderId="0" xfId="0" applyFont="1"/>
    <xf numFmtId="0" fontId="69" fillId="3" borderId="0" xfId="9" applyFont="1" applyFill="1" applyBorder="1" applyAlignment="1" applyProtection="1">
      <alignment horizontal="center" vertical="top" wrapText="1"/>
    </xf>
    <xf numFmtId="14" fontId="9" fillId="0" borderId="0" xfId="9" applyNumberFormat="1" applyProtection="1"/>
    <xf numFmtId="0" fontId="65" fillId="3" borderId="0" xfId="0" applyFont="1" applyFill="1" applyBorder="1" applyAlignment="1" applyProtection="1">
      <alignment vertical="center"/>
    </xf>
    <xf numFmtId="0" fontId="65" fillId="3" borderId="0" xfId="0" applyFont="1" applyFill="1" applyBorder="1" applyAlignment="1" applyProtection="1"/>
    <xf numFmtId="0" fontId="21" fillId="0" borderId="0" xfId="0" applyFont="1" applyBorder="1" applyAlignment="1" applyProtection="1"/>
    <xf numFmtId="0" fontId="72" fillId="3" borderId="0" xfId="0" applyFont="1" applyFill="1" applyBorder="1" applyAlignment="1" applyProtection="1">
      <alignment vertical="center" wrapText="1"/>
    </xf>
    <xf numFmtId="0" fontId="69" fillId="3" borderId="0" xfId="0" applyFont="1" applyFill="1" applyBorder="1" applyAlignment="1" applyProtection="1">
      <alignment vertical="top"/>
    </xf>
    <xf numFmtId="0" fontId="63" fillId="3" borderId="0" xfId="0" applyFont="1" applyFill="1" applyBorder="1" applyProtection="1"/>
    <xf numFmtId="0" fontId="87" fillId="0" borderId="0" xfId="0" applyFont="1" applyBorder="1" applyProtection="1"/>
    <xf numFmtId="0" fontId="82" fillId="0" borderId="47" xfId="0" applyFont="1" applyFill="1" applyBorder="1" applyAlignment="1" applyProtection="1">
      <alignment vertical="center" wrapText="1"/>
    </xf>
    <xf numFmtId="0" fontId="77" fillId="3" borderId="0" xfId="9" applyFont="1" applyFill="1" applyBorder="1" applyAlignment="1" applyProtection="1">
      <alignment horizontal="center" vertical="center"/>
    </xf>
    <xf numFmtId="14" fontId="21" fillId="0" borderId="0" xfId="0" applyNumberFormat="1" applyFont="1" applyAlignment="1" applyProtection="1">
      <alignment vertical="center"/>
    </xf>
    <xf numFmtId="0" fontId="78" fillId="0" borderId="0" xfId="0" applyFont="1" applyBorder="1" applyAlignment="1" applyProtection="1">
      <alignment horizontal="right"/>
    </xf>
    <xf numFmtId="0" fontId="57" fillId="0" borderId="0" xfId="0" applyFont="1" applyAlignment="1" applyProtection="1">
      <alignment horizontal="right" vertical="center"/>
    </xf>
    <xf numFmtId="0" fontId="16" fillId="0" borderId="1" xfId="0" applyFont="1" applyBorder="1" applyAlignment="1" applyProtection="1"/>
    <xf numFmtId="165" fontId="21" fillId="0" borderId="19" xfId="0" applyNumberFormat="1" applyFont="1" applyBorder="1" applyAlignment="1" applyProtection="1">
      <alignment horizontal="left" vertical="center"/>
      <protection locked="0"/>
    </xf>
    <xf numFmtId="0" fontId="21" fillId="3" borderId="19" xfId="0" applyFont="1" applyFill="1" applyBorder="1" applyAlignment="1" applyProtection="1">
      <alignment horizontal="center" vertical="center"/>
      <protection locked="0"/>
    </xf>
    <xf numFmtId="14" fontId="21" fillId="3" borderId="19" xfId="0" applyNumberFormat="1" applyFont="1" applyFill="1" applyBorder="1" applyAlignment="1" applyProtection="1">
      <alignment horizontal="center" vertical="center"/>
      <protection locked="0"/>
    </xf>
    <xf numFmtId="0" fontId="21" fillId="3" borderId="19" xfId="0" applyFont="1" applyFill="1" applyBorder="1" applyAlignment="1" applyProtection="1">
      <alignment horizontal="left" vertical="center"/>
      <protection locked="0"/>
    </xf>
    <xf numFmtId="0" fontId="12" fillId="3" borderId="0" xfId="0" applyFont="1" applyFill="1" applyBorder="1" applyAlignment="1">
      <alignment horizontal="center"/>
    </xf>
    <xf numFmtId="0" fontId="0" fillId="0" borderId="0" xfId="0" applyAlignment="1" applyProtection="1">
      <alignment vertical="top"/>
    </xf>
    <xf numFmtId="0" fontId="0" fillId="3" borderId="0" xfId="0" applyFill="1" applyAlignment="1" applyProtection="1">
      <alignment vertical="top"/>
    </xf>
    <xf numFmtId="0" fontId="65" fillId="0" borderId="0" xfId="0" applyFont="1" applyAlignment="1">
      <alignment vertical="top"/>
    </xf>
    <xf numFmtId="0" fontId="28" fillId="0" borderId="0" xfId="0" applyFont="1" applyFill="1" applyBorder="1" applyProtection="1"/>
    <xf numFmtId="0" fontId="57" fillId="0" borderId="47" xfId="0" applyFont="1" applyBorder="1" applyAlignment="1" applyProtection="1">
      <alignment horizontal="right"/>
    </xf>
    <xf numFmtId="0" fontId="57" fillId="0" borderId="58" xfId="0" applyFont="1" applyBorder="1" applyAlignment="1" applyProtection="1">
      <alignment horizontal="right"/>
    </xf>
    <xf numFmtId="0" fontId="16" fillId="0" borderId="48" xfId="0" applyFont="1" applyBorder="1" applyProtection="1"/>
    <xf numFmtId="0" fontId="20" fillId="0" borderId="0" xfId="0" applyFont="1" applyProtection="1"/>
    <xf numFmtId="0" fontId="12" fillId="0" borderId="0" xfId="0" applyFont="1" applyProtection="1"/>
    <xf numFmtId="0" fontId="26" fillId="3" borderId="1" xfId="0" applyFont="1" applyFill="1" applyBorder="1" applyProtection="1"/>
    <xf numFmtId="0" fontId="26" fillId="3" borderId="1" xfId="0" applyFont="1" applyFill="1" applyBorder="1" applyAlignment="1" applyProtection="1">
      <alignment vertical="center"/>
    </xf>
    <xf numFmtId="0" fontId="16" fillId="2" borderId="1" xfId="0" applyFont="1" applyFill="1" applyBorder="1" applyAlignment="1" applyProtection="1">
      <alignment horizontal="center"/>
    </xf>
    <xf numFmtId="5" fontId="16" fillId="0" borderId="0" xfId="0" applyNumberFormat="1" applyFont="1" applyAlignment="1" applyProtection="1">
      <alignment horizontal="center"/>
    </xf>
    <xf numFmtId="166" fontId="16" fillId="0" borderId="0" xfId="0" applyNumberFormat="1" applyFont="1" applyAlignment="1" applyProtection="1">
      <alignment horizontal="center"/>
    </xf>
    <xf numFmtId="0" fontId="26" fillId="0" borderId="1" xfId="0" applyFont="1" applyBorder="1" applyProtection="1"/>
    <xf numFmtId="0" fontId="16" fillId="0" borderId="0" xfId="0" applyFont="1" applyAlignment="1" applyProtection="1"/>
    <xf numFmtId="0" fontId="26" fillId="0" borderId="0" xfId="0" applyFont="1" applyProtection="1"/>
    <xf numFmtId="0" fontId="24" fillId="0" borderId="0" xfId="0" applyFont="1" applyBorder="1" applyAlignment="1" applyProtection="1">
      <alignment horizontal="left" vertical="center"/>
    </xf>
    <xf numFmtId="0" fontId="26" fillId="0" borderId="0" xfId="0" applyFont="1" applyBorder="1" applyProtection="1"/>
    <xf numFmtId="0" fontId="16" fillId="0" borderId="0" xfId="0" applyFont="1" applyAlignment="1" applyProtection="1">
      <alignment horizontal="left"/>
    </xf>
    <xf numFmtId="1" fontId="16" fillId="0" borderId="0" xfId="0" applyNumberFormat="1" applyFont="1" applyAlignment="1" applyProtection="1">
      <alignment horizontal="center"/>
    </xf>
    <xf numFmtId="5" fontId="16" fillId="0" borderId="0" xfId="0" applyNumberFormat="1" applyFont="1" applyProtection="1"/>
    <xf numFmtId="5" fontId="16" fillId="3" borderId="0" xfId="0" applyNumberFormat="1" applyFont="1" applyFill="1" applyBorder="1" applyProtection="1"/>
    <xf numFmtId="0" fontId="21" fillId="3" borderId="0" xfId="0" applyFont="1" applyFill="1" applyAlignment="1" applyProtection="1"/>
    <xf numFmtId="49" fontId="63" fillId="3" borderId="0" xfId="0" applyNumberFormat="1" applyFont="1" applyFill="1" applyBorder="1" applyAlignment="1" applyProtection="1"/>
    <xf numFmtId="0" fontId="90" fillId="0" borderId="0" xfId="0" applyFont="1" applyAlignment="1">
      <alignment horizontal="left"/>
    </xf>
    <xf numFmtId="0" fontId="0" fillId="0" borderId="0" xfId="0" applyAlignment="1">
      <alignment vertical="center"/>
    </xf>
    <xf numFmtId="0" fontId="12" fillId="3" borderId="0" xfId="0" applyFont="1" applyFill="1" applyAlignment="1">
      <alignment vertical="center"/>
    </xf>
    <xf numFmtId="0" fontId="94" fillId="0" borderId="0" xfId="0" applyFont="1" applyAlignment="1"/>
    <xf numFmtId="0" fontId="61" fillId="0" borderId="0" xfId="0" applyFont="1"/>
    <xf numFmtId="0" fontId="21" fillId="0" borderId="0" xfId="0" applyFont="1" applyBorder="1" applyAlignment="1" applyProtection="1">
      <alignment vertical="center"/>
      <protection locked="0"/>
    </xf>
    <xf numFmtId="0" fontId="61" fillId="0" borderId="0" xfId="0" applyFont="1" applyBorder="1" applyAlignment="1" applyProtection="1">
      <alignment vertical="center"/>
      <protection locked="0"/>
    </xf>
    <xf numFmtId="0" fontId="0" fillId="3" borderId="0" xfId="0" applyFill="1" applyBorder="1" applyProtection="1">
      <protection locked="0"/>
    </xf>
    <xf numFmtId="0" fontId="0" fillId="0" borderId="47" xfId="0" applyBorder="1" applyAlignment="1" applyProtection="1">
      <protection locked="0"/>
    </xf>
    <xf numFmtId="0" fontId="60" fillId="0" borderId="47" xfId="0" applyFont="1" applyBorder="1" applyAlignment="1" applyProtection="1">
      <protection locked="0"/>
    </xf>
    <xf numFmtId="0" fontId="78" fillId="0" borderId="47" xfId="0" applyFont="1" applyBorder="1" applyAlignment="1" applyProtection="1">
      <alignment horizontal="right"/>
      <protection locked="0"/>
    </xf>
    <xf numFmtId="0" fontId="53" fillId="0" borderId="0" xfId="0" applyFont="1" applyAlignment="1" applyProtection="1">
      <alignment vertical="center"/>
    </xf>
    <xf numFmtId="0" fontId="81" fillId="3" borderId="0" xfId="0" applyFont="1" applyFill="1" applyBorder="1" applyAlignment="1" applyProtection="1">
      <alignment horizontal="right"/>
    </xf>
    <xf numFmtId="0" fontId="61" fillId="3" borderId="109" xfId="9" applyFont="1" applyFill="1" applyBorder="1" applyAlignment="1" applyProtection="1">
      <alignment vertical="top" wrapText="1"/>
    </xf>
    <xf numFmtId="0" fontId="91" fillId="0" borderId="0" xfId="9" applyFont="1" applyProtection="1"/>
    <xf numFmtId="0" fontId="21" fillId="3" borderId="0" xfId="0" applyFont="1" applyFill="1" applyProtection="1">
      <protection locked="0"/>
    </xf>
    <xf numFmtId="0" fontId="82" fillId="3" borderId="0" xfId="0" applyFont="1" applyFill="1" applyBorder="1" applyAlignment="1" applyProtection="1">
      <alignment vertical="center" wrapText="1"/>
      <protection locked="0"/>
    </xf>
    <xf numFmtId="0" fontId="83" fillId="3" borderId="0" xfId="0" applyFont="1" applyFill="1" applyBorder="1" applyProtection="1">
      <protection locked="0"/>
    </xf>
    <xf numFmtId="0" fontId="57" fillId="0" borderId="0" xfId="0" applyFont="1" applyAlignment="1" applyProtection="1">
      <alignment horizontal="right"/>
      <protection locked="0"/>
    </xf>
    <xf numFmtId="0" fontId="57" fillId="13" borderId="45" xfId="19" applyFont="1" applyFill="1" applyBorder="1" applyAlignment="1" applyProtection="1">
      <alignment horizontal="center" vertical="center" wrapText="1"/>
      <protection locked="0"/>
    </xf>
    <xf numFmtId="0" fontId="47" fillId="0" borderId="0" xfId="19" applyFont="1" applyFill="1" applyBorder="1" applyAlignment="1" applyProtection="1">
      <alignment horizontal="right" vertical="center"/>
      <protection locked="0"/>
    </xf>
    <xf numFmtId="0" fontId="21" fillId="3" borderId="0" xfId="0" applyFont="1" applyFill="1" applyBorder="1" applyProtection="1">
      <protection locked="0"/>
    </xf>
    <xf numFmtId="0" fontId="69" fillId="3" borderId="157" xfId="0" applyFont="1" applyFill="1" applyBorder="1" applyAlignment="1" applyProtection="1">
      <alignment horizontal="center" vertical="center"/>
      <protection locked="0"/>
    </xf>
    <xf numFmtId="1" fontId="69" fillId="3" borderId="157" xfId="0" applyNumberFormat="1" applyFont="1" applyFill="1" applyBorder="1" applyAlignment="1" applyProtection="1">
      <alignment horizontal="center" vertical="center"/>
      <protection locked="0"/>
    </xf>
    <xf numFmtId="0" fontId="21" fillId="3" borderId="0" xfId="0" applyFont="1" applyFill="1" applyBorder="1" applyAlignment="1" applyProtection="1">
      <alignment horizontal="center"/>
      <protection locked="0"/>
    </xf>
    <xf numFmtId="0" fontId="21" fillId="0" borderId="0" xfId="0" applyFont="1" applyAlignment="1" applyProtection="1">
      <alignment horizontal="center"/>
      <protection locked="0"/>
    </xf>
    <xf numFmtId="0" fontId="82" fillId="3" borderId="0" xfId="0" applyFont="1" applyFill="1" applyBorder="1" applyAlignment="1" applyProtection="1">
      <alignment horizontal="center" vertical="center" wrapText="1"/>
      <protection locked="0"/>
    </xf>
    <xf numFmtId="165" fontId="21" fillId="0" borderId="66" xfId="0" applyNumberFormat="1" applyFont="1" applyBorder="1" applyAlignment="1" applyProtection="1">
      <alignment horizontal="center" vertical="center"/>
      <protection locked="0"/>
    </xf>
    <xf numFmtId="0" fontId="69" fillId="3" borderId="55" xfId="0" applyFont="1" applyFill="1" applyBorder="1" applyAlignment="1" applyProtection="1">
      <alignment vertical="center"/>
    </xf>
    <xf numFmtId="0" fontId="84" fillId="3" borderId="0" xfId="9" applyFont="1" applyFill="1" applyBorder="1" applyAlignment="1" applyProtection="1">
      <alignment horizontal="center" vertical="center"/>
    </xf>
    <xf numFmtId="0" fontId="17" fillId="0" borderId="0" xfId="0" applyFont="1" applyFill="1" applyBorder="1" applyProtection="1"/>
    <xf numFmtId="0" fontId="22" fillId="3" borderId="0" xfId="0" applyFont="1" applyFill="1" applyAlignment="1" applyProtection="1">
      <alignment vertical="center"/>
    </xf>
    <xf numFmtId="0" fontId="22" fillId="0" borderId="0" xfId="0" applyFont="1" applyAlignment="1" applyProtection="1">
      <alignment vertical="center"/>
    </xf>
    <xf numFmtId="0" fontId="17" fillId="0" borderId="0" xfId="0" applyFont="1" applyProtection="1"/>
    <xf numFmtId="0" fontId="37" fillId="0" borderId="0" xfId="0" applyFont="1" applyProtection="1"/>
    <xf numFmtId="0" fontId="22" fillId="3" borderId="0" xfId="0" applyFont="1" applyFill="1" applyProtection="1"/>
    <xf numFmtId="0" fontId="22" fillId="0" borderId="0" xfId="0" applyFont="1" applyProtection="1"/>
    <xf numFmtId="0" fontId="14" fillId="0" borderId="0" xfId="0" applyFont="1" applyAlignment="1" applyProtection="1"/>
    <xf numFmtId="0" fontId="23" fillId="0" borderId="0" xfId="0" applyFont="1" applyAlignment="1" applyProtection="1">
      <alignment vertical="center"/>
    </xf>
    <xf numFmtId="0" fontId="13" fillId="0" borderId="0" xfId="0" applyFont="1" applyAlignment="1" applyProtection="1"/>
    <xf numFmtId="0" fontId="18" fillId="0" borderId="0" xfId="0" applyFont="1" applyAlignment="1" applyProtection="1"/>
    <xf numFmtId="0" fontId="17" fillId="0" borderId="0" xfId="0" applyFont="1" applyAlignment="1" applyProtection="1"/>
    <xf numFmtId="0" fontId="18" fillId="0" borderId="0" xfId="0" applyFont="1" applyAlignment="1" applyProtection="1">
      <alignment horizontal="center"/>
    </xf>
    <xf numFmtId="49" fontId="0" fillId="3" borderId="0" xfId="0" applyNumberFormat="1" applyFill="1" applyProtection="1"/>
    <xf numFmtId="0" fontId="61" fillId="0" borderId="0" xfId="0" applyFont="1" applyAlignment="1">
      <alignment horizontal="left" vertical="top"/>
    </xf>
    <xf numFmtId="0" fontId="61" fillId="3" borderId="0" xfId="0" applyFont="1" applyFill="1"/>
    <xf numFmtId="0" fontId="69" fillId="14" borderId="57" xfId="9" applyFont="1" applyFill="1" applyBorder="1" applyAlignment="1" applyProtection="1">
      <alignment vertical="center" wrapText="1"/>
    </xf>
    <xf numFmtId="0" fontId="54" fillId="14" borderId="52" xfId="9" applyFont="1" applyFill="1" applyBorder="1" applyAlignment="1" applyProtection="1">
      <alignment vertical="center" wrapText="1"/>
    </xf>
    <xf numFmtId="0" fontId="69" fillId="14" borderId="46" xfId="9" applyFont="1" applyFill="1" applyBorder="1" applyAlignment="1" applyProtection="1">
      <alignment vertical="center" wrapText="1"/>
    </xf>
    <xf numFmtId="0" fontId="54" fillId="14" borderId="0" xfId="9" applyFont="1" applyFill="1" applyBorder="1" applyAlignment="1" applyProtection="1">
      <alignment vertical="center" wrapText="1"/>
    </xf>
    <xf numFmtId="0" fontId="69" fillId="14" borderId="48" xfId="9" applyFont="1" applyFill="1" applyBorder="1" applyAlignment="1" applyProtection="1">
      <alignment vertical="center" wrapText="1"/>
    </xf>
    <xf numFmtId="0" fontId="54" fillId="14" borderId="47" xfId="9" applyFont="1" applyFill="1" applyBorder="1" applyAlignment="1" applyProtection="1">
      <alignment vertical="center" wrapText="1"/>
    </xf>
    <xf numFmtId="0" fontId="7" fillId="3" borderId="0" xfId="9" applyFont="1" applyFill="1" applyProtection="1"/>
    <xf numFmtId="166" fontId="0" fillId="0" borderId="0" xfId="0" applyNumberFormat="1" applyProtection="1"/>
    <xf numFmtId="10" fontId="21" fillId="0" borderId="1" xfId="2" applyNumberFormat="1" applyFont="1" applyBorder="1" applyAlignment="1" applyProtection="1">
      <alignment horizontal="center" vertical="center"/>
    </xf>
    <xf numFmtId="166" fontId="16" fillId="3" borderId="0" xfId="0" applyNumberFormat="1" applyFont="1" applyFill="1" applyProtection="1"/>
    <xf numFmtId="0" fontId="16" fillId="3" borderId="6" xfId="0" applyFont="1" applyFill="1" applyBorder="1" applyAlignment="1" applyProtection="1">
      <alignment horizontal="center"/>
    </xf>
    <xf numFmtId="0" fontId="57" fillId="8" borderId="0" xfId="19" applyFont="1" applyFill="1" applyBorder="1" applyAlignment="1" applyProtection="1">
      <alignment vertical="top" wrapText="1"/>
    </xf>
    <xf numFmtId="167" fontId="21" fillId="3" borderId="19" xfId="2" applyNumberFormat="1" applyFont="1" applyFill="1" applyBorder="1" applyAlignment="1" applyProtection="1">
      <alignment horizontal="center" vertical="center"/>
      <protection locked="0"/>
    </xf>
    <xf numFmtId="166" fontId="21" fillId="15" borderId="97" xfId="0" applyNumberFormat="1" applyFont="1" applyFill="1" applyBorder="1" applyAlignment="1" applyProtection="1">
      <alignment horizontal="center" vertical="center"/>
      <protection locked="0"/>
    </xf>
    <xf numFmtId="49" fontId="21" fillId="0" borderId="0" xfId="0" applyNumberFormat="1" applyFont="1" applyProtection="1"/>
    <xf numFmtId="0" fontId="96" fillId="0" borderId="0" xfId="19" applyFont="1" applyFill="1" applyBorder="1" applyAlignment="1" applyProtection="1">
      <alignment horizontal="right" vertical="top"/>
    </xf>
    <xf numFmtId="0" fontId="21" fillId="0" borderId="0" xfId="0" applyFont="1" applyBorder="1" applyAlignment="1" applyProtection="1">
      <alignment vertical="top"/>
    </xf>
    <xf numFmtId="0" fontId="21" fillId="3" borderId="0" xfId="0" applyFont="1" applyFill="1" applyAlignment="1" applyProtection="1">
      <alignment vertical="top"/>
    </xf>
    <xf numFmtId="0" fontId="21" fillId="0" borderId="0" xfId="0" applyFont="1" applyAlignment="1" applyProtection="1">
      <alignment vertical="top"/>
    </xf>
    <xf numFmtId="0" fontId="97" fillId="0" borderId="0" xfId="0" applyFont="1" applyBorder="1" applyAlignment="1" applyProtection="1">
      <alignment horizontal="right"/>
    </xf>
    <xf numFmtId="168" fontId="20" fillId="3" borderId="0" xfId="2" applyNumberFormat="1" applyFont="1" applyFill="1" applyBorder="1" applyAlignment="1" applyProtection="1">
      <alignment vertical="center"/>
    </xf>
    <xf numFmtId="14" fontId="21" fillId="0" borderId="0" xfId="0" applyNumberFormat="1" applyFont="1" applyBorder="1" applyProtection="1"/>
    <xf numFmtId="14" fontId="21" fillId="0" borderId="0" xfId="0" applyNumberFormat="1" applyFont="1" applyProtection="1"/>
    <xf numFmtId="165" fontId="21" fillId="0" borderId="0" xfId="0" applyNumberFormat="1" applyFont="1" applyAlignment="1" applyProtection="1">
      <alignment vertical="center"/>
    </xf>
    <xf numFmtId="49" fontId="21" fillId="0" borderId="0" xfId="0" applyNumberFormat="1" applyFont="1" applyAlignment="1" applyProtection="1">
      <alignment vertical="center"/>
    </xf>
    <xf numFmtId="0" fontId="40" fillId="7" borderId="1" xfId="0" applyFont="1" applyFill="1" applyBorder="1" applyAlignment="1" applyProtection="1">
      <alignment horizontal="center" vertical="center"/>
    </xf>
    <xf numFmtId="0" fontId="35" fillId="0" borderId="1" xfId="0" applyFont="1" applyBorder="1" applyAlignment="1" applyProtection="1">
      <alignment horizontal="center" vertical="center"/>
    </xf>
    <xf numFmtId="0" fontId="35" fillId="0" borderId="1" xfId="0" applyFont="1" applyBorder="1" applyAlignment="1" applyProtection="1">
      <alignment vertical="center"/>
    </xf>
    <xf numFmtId="7" fontId="21" fillId="0" borderId="0" xfId="0" applyNumberFormat="1" applyFont="1" applyProtection="1"/>
    <xf numFmtId="0" fontId="35" fillId="3" borderId="0" xfId="0" applyFont="1" applyFill="1" applyProtection="1"/>
    <xf numFmtId="0" fontId="98" fillId="3" borderId="0" xfId="0" applyFont="1" applyFill="1" applyProtection="1"/>
    <xf numFmtId="0" fontId="35" fillId="0" borderId="0" xfId="0" applyFont="1" applyProtection="1"/>
    <xf numFmtId="0" fontId="99" fillId="2" borderId="1" xfId="0" applyFont="1" applyFill="1" applyBorder="1" applyAlignment="1" applyProtection="1">
      <alignment horizontal="center"/>
    </xf>
    <xf numFmtId="0" fontId="25" fillId="3" borderId="0" xfId="0" applyFont="1" applyFill="1" applyProtection="1"/>
    <xf numFmtId="0" fontId="25" fillId="0" borderId="0" xfId="0" applyFont="1" applyProtection="1"/>
    <xf numFmtId="0" fontId="35" fillId="0" borderId="0" xfId="0" applyFont="1" applyAlignment="1" applyProtection="1">
      <alignment horizontal="center" vertical="center"/>
    </xf>
    <xf numFmtId="0" fontId="36" fillId="7" borderId="2" xfId="0" applyFont="1" applyFill="1" applyBorder="1" applyAlignment="1" applyProtection="1">
      <alignment vertical="center"/>
    </xf>
    <xf numFmtId="0" fontId="36" fillId="7" borderId="2" xfId="0" applyFont="1" applyFill="1" applyBorder="1" applyAlignment="1" applyProtection="1">
      <alignment horizontal="center" vertical="center"/>
    </xf>
    <xf numFmtId="0" fontId="100" fillId="7" borderId="0" xfId="0" applyFont="1" applyFill="1" applyAlignment="1" applyProtection="1">
      <alignment vertical="center"/>
    </xf>
    <xf numFmtId="0" fontId="100" fillId="7" borderId="0" xfId="0" applyFont="1" applyFill="1" applyAlignment="1" applyProtection="1">
      <alignment horizontal="center" vertical="center"/>
    </xf>
    <xf numFmtId="0" fontId="35" fillId="0" borderId="0" xfId="0" applyFont="1" applyAlignment="1" applyProtection="1">
      <alignment vertical="center"/>
    </xf>
    <xf numFmtId="0" fontId="21" fillId="2" borderId="6" xfId="0" applyFont="1" applyFill="1" applyBorder="1" applyAlignment="1" applyProtection="1">
      <alignment vertical="center"/>
    </xf>
    <xf numFmtId="0" fontId="21" fillId="2" borderId="7" xfId="0" applyFont="1" applyFill="1" applyBorder="1" applyAlignment="1" applyProtection="1">
      <alignment vertical="center"/>
    </xf>
    <xf numFmtId="0" fontId="21" fillId="2" borderId="3" xfId="0" applyFont="1" applyFill="1" applyBorder="1" applyAlignment="1" applyProtection="1">
      <alignment vertical="center"/>
    </xf>
    <xf numFmtId="0" fontId="35" fillId="2" borderId="6" xfId="0" applyFont="1" applyFill="1" applyBorder="1" applyAlignment="1" applyProtection="1">
      <alignment vertical="center"/>
    </xf>
    <xf numFmtId="0" fontId="35" fillId="2" borderId="7" xfId="0" applyFont="1" applyFill="1" applyBorder="1" applyAlignment="1" applyProtection="1">
      <alignment vertical="center"/>
    </xf>
    <xf numFmtId="0" fontId="35" fillId="2" borderId="7" xfId="0" applyFont="1" applyFill="1" applyBorder="1" applyAlignment="1" applyProtection="1">
      <alignment horizontal="center" vertical="center"/>
    </xf>
    <xf numFmtId="5" fontId="21" fillId="0" borderId="0" xfId="0" applyNumberFormat="1" applyFont="1" applyAlignment="1" applyProtection="1">
      <alignment vertical="center"/>
    </xf>
    <xf numFmtId="0" fontId="99" fillId="2" borderId="1" xfId="0" applyFont="1" applyFill="1" applyBorder="1" applyAlignment="1" applyProtection="1">
      <alignment horizontal="center" vertical="center"/>
    </xf>
    <xf numFmtId="0" fontId="35" fillId="0" borderId="1" xfId="0" applyFont="1" applyBorder="1" applyAlignment="1" applyProtection="1">
      <alignment horizontal="center"/>
    </xf>
    <xf numFmtId="0" fontId="35" fillId="0" borderId="1" xfId="0" applyFont="1" applyBorder="1" applyProtection="1"/>
    <xf numFmtId="0" fontId="35" fillId="0" borderId="0" xfId="0" applyFont="1" applyAlignment="1" applyProtection="1">
      <alignment horizontal="center"/>
    </xf>
    <xf numFmtId="0" fontId="99" fillId="0" borderId="1" xfId="0" applyFont="1" applyBorder="1" applyAlignment="1" applyProtection="1">
      <alignment vertical="center"/>
    </xf>
    <xf numFmtId="0" fontId="99" fillId="0" borderId="1" xfId="0" applyFont="1" applyBorder="1" applyAlignment="1" applyProtection="1">
      <alignment horizontal="center" vertical="center"/>
    </xf>
    <xf numFmtId="0" fontId="75" fillId="3" borderId="47" xfId="0" applyFont="1" applyFill="1" applyBorder="1" applyAlignment="1" applyProtection="1">
      <alignment vertical="center" wrapText="1"/>
      <protection locked="0"/>
    </xf>
    <xf numFmtId="0" fontId="75" fillId="3" borderId="47" xfId="0" applyFont="1" applyFill="1" applyBorder="1" applyAlignment="1" applyProtection="1">
      <alignment vertical="center"/>
      <protection locked="0"/>
    </xf>
    <xf numFmtId="0" fontId="21" fillId="0" borderId="87" xfId="0" applyFont="1" applyBorder="1" applyAlignment="1" applyProtection="1">
      <alignment horizontal="left" vertical="center"/>
      <protection locked="0"/>
    </xf>
    <xf numFmtId="1" fontId="48" fillId="3" borderId="202" xfId="0" applyNumberFormat="1" applyFont="1" applyFill="1" applyBorder="1" applyAlignment="1" applyProtection="1">
      <alignment horizontal="center" vertical="center"/>
      <protection locked="0"/>
    </xf>
    <xf numFmtId="165" fontId="48" fillId="3" borderId="202" xfId="0" applyNumberFormat="1" applyFont="1" applyFill="1" applyBorder="1" applyAlignment="1" applyProtection="1">
      <alignment horizontal="center" vertical="center"/>
      <protection locked="0"/>
    </xf>
    <xf numFmtId="0" fontId="48" fillId="3" borderId="203" xfId="0" applyFont="1" applyFill="1" applyBorder="1" applyAlignment="1" applyProtection="1">
      <alignment horizontal="center" vertical="center"/>
      <protection locked="0"/>
    </xf>
    <xf numFmtId="0" fontId="21" fillId="3" borderId="203" xfId="0" applyFont="1" applyFill="1" applyBorder="1" applyAlignment="1" applyProtection="1">
      <alignment horizontal="center" vertical="center"/>
      <protection locked="0"/>
    </xf>
    <xf numFmtId="49" fontId="59" fillId="3" borderId="0" xfId="0" applyNumberFormat="1" applyFont="1" applyFill="1" applyBorder="1" applyAlignment="1" applyProtection="1">
      <alignment horizontal="left" vertical="top"/>
    </xf>
    <xf numFmtId="0" fontId="21" fillId="0" borderId="0" xfId="0" applyFont="1" applyFill="1" applyBorder="1" applyProtection="1"/>
    <xf numFmtId="0" fontId="42" fillId="3" borderId="0" xfId="0" applyFont="1" applyFill="1" applyBorder="1" applyAlignment="1" applyProtection="1">
      <alignment horizontal="center"/>
    </xf>
    <xf numFmtId="165" fontId="21" fillId="3" borderId="19" xfId="0" applyNumberFormat="1" applyFont="1" applyFill="1" applyBorder="1" applyAlignment="1" applyProtection="1">
      <alignment horizontal="center" vertical="center"/>
      <protection locked="0"/>
    </xf>
    <xf numFmtId="0" fontId="21" fillId="3" borderId="0" xfId="0" applyFont="1" applyFill="1" applyAlignment="1" applyProtection="1">
      <alignment horizontal="center"/>
    </xf>
    <xf numFmtId="0" fontId="57" fillId="3" borderId="0" xfId="0" applyFont="1" applyFill="1" applyBorder="1" applyAlignment="1" applyProtection="1">
      <alignment horizontal="left" vertical="center"/>
    </xf>
    <xf numFmtId="0" fontId="21" fillId="0" borderId="0" xfId="0" applyFont="1" applyBorder="1" applyProtection="1">
      <protection locked="0"/>
    </xf>
    <xf numFmtId="0" fontId="20" fillId="3" borderId="0" xfId="0" applyFont="1" applyFill="1" applyBorder="1" applyAlignment="1" applyProtection="1">
      <alignment horizontal="left" vertical="center"/>
    </xf>
    <xf numFmtId="0" fontId="101" fillId="3" borderId="0" xfId="0" applyFont="1" applyFill="1" applyBorder="1" applyAlignment="1" applyProtection="1">
      <alignment vertical="center"/>
    </xf>
    <xf numFmtId="0" fontId="43" fillId="3" borderId="0" xfId="0" applyFont="1" applyFill="1" applyBorder="1" applyAlignment="1" applyProtection="1">
      <alignment horizontal="right" vertical="center"/>
    </xf>
    <xf numFmtId="0" fontId="5" fillId="3" borderId="0" xfId="0" applyFont="1" applyFill="1" applyBorder="1" applyAlignment="1" applyProtection="1">
      <alignment vertical="center"/>
    </xf>
    <xf numFmtId="0" fontId="5" fillId="3" borderId="0" xfId="0" applyFont="1" applyFill="1" applyBorder="1" applyAlignment="1" applyProtection="1">
      <alignment horizontal="left" vertical="center"/>
    </xf>
    <xf numFmtId="0" fontId="43" fillId="0" borderId="0" xfId="0" applyFont="1" applyFill="1" applyBorder="1" applyAlignment="1" applyProtection="1">
      <alignment horizontal="right" vertical="center"/>
    </xf>
    <xf numFmtId="0" fontId="61" fillId="3" borderId="0" xfId="0" applyFont="1" applyFill="1" applyBorder="1" applyAlignment="1" applyProtection="1">
      <alignment vertical="center" wrapText="1"/>
    </xf>
    <xf numFmtId="0" fontId="103" fillId="3" borderId="0" xfId="0" applyFont="1" applyFill="1" applyBorder="1" applyAlignment="1" applyProtection="1">
      <alignment horizontal="left" vertical="center"/>
    </xf>
    <xf numFmtId="0" fontId="43" fillId="3" borderId="0" xfId="0" applyFont="1" applyFill="1" applyBorder="1" applyAlignment="1" applyProtection="1">
      <alignment horizontal="left" vertical="center"/>
    </xf>
    <xf numFmtId="0" fontId="57" fillId="3" borderId="0" xfId="0" applyFont="1" applyFill="1" applyBorder="1" applyAlignment="1" applyProtection="1">
      <alignment vertical="top"/>
    </xf>
    <xf numFmtId="0" fontId="61" fillId="0" borderId="0" xfId="0" applyFont="1" applyFill="1" applyBorder="1" applyAlignment="1" applyProtection="1">
      <alignment horizontal="left" vertical="center"/>
    </xf>
    <xf numFmtId="0" fontId="20" fillId="3" borderId="0" xfId="0" applyFont="1" applyFill="1" applyBorder="1" applyAlignment="1" applyProtection="1">
      <alignment horizontal="left" vertical="top"/>
    </xf>
    <xf numFmtId="0" fontId="57" fillId="3" borderId="0" xfId="0" applyFont="1" applyFill="1" applyBorder="1" applyAlignment="1" applyProtection="1">
      <alignment horizontal="left" vertical="top"/>
    </xf>
    <xf numFmtId="0" fontId="57" fillId="0" borderId="0" xfId="0" applyFont="1" applyProtection="1"/>
    <xf numFmtId="0" fontId="57" fillId="0" borderId="0" xfId="0" applyFont="1" applyFill="1" applyBorder="1" applyAlignment="1" applyProtection="1">
      <alignment vertical="center"/>
    </xf>
    <xf numFmtId="0" fontId="21" fillId="3" borderId="0" xfId="0" applyFont="1" applyFill="1" applyAlignment="1" applyProtection="1">
      <alignment horizontal="center" vertical="top"/>
    </xf>
    <xf numFmtId="168" fontId="21" fillId="9" borderId="161" xfId="2" applyNumberFormat="1" applyFont="1" applyFill="1" applyBorder="1" applyAlignment="1" applyProtection="1">
      <alignment horizontal="center" vertical="center"/>
    </xf>
    <xf numFmtId="0" fontId="48" fillId="3" borderId="214" xfId="0" applyFont="1" applyFill="1" applyBorder="1" applyAlignment="1" applyProtection="1">
      <alignment horizontal="center" vertical="center"/>
      <protection locked="0"/>
    </xf>
    <xf numFmtId="1" fontId="21" fillId="3" borderId="204" xfId="0" applyNumberFormat="1" applyFont="1" applyFill="1" applyBorder="1" applyAlignment="1" applyProtection="1">
      <alignment horizontal="center" vertical="center"/>
      <protection locked="0"/>
    </xf>
    <xf numFmtId="0" fontId="21" fillId="3" borderId="162" xfId="0" applyFont="1" applyFill="1" applyBorder="1" applyAlignment="1" applyProtection="1">
      <alignment horizontal="center" vertical="center"/>
      <protection locked="0"/>
    </xf>
    <xf numFmtId="165" fontId="21" fillId="3" borderId="162" xfId="0" applyNumberFormat="1" applyFont="1" applyFill="1" applyBorder="1" applyAlignment="1" applyProtection="1">
      <alignment horizontal="center" vertical="center"/>
      <protection locked="0"/>
    </xf>
    <xf numFmtId="165" fontId="21" fillId="3" borderId="215" xfId="0" applyNumberFormat="1" applyFont="1" applyFill="1" applyBorder="1" applyAlignment="1" applyProtection="1">
      <alignment horizontal="center" vertical="center"/>
      <protection locked="0"/>
    </xf>
    <xf numFmtId="7" fontId="21" fillId="3" borderId="0" xfId="0" applyNumberFormat="1" applyFont="1" applyFill="1" applyBorder="1" applyAlignment="1" applyProtection="1">
      <alignment vertical="top"/>
    </xf>
    <xf numFmtId="0" fontId="9" fillId="0" borderId="1" xfId="9" applyBorder="1" applyAlignment="1" applyProtection="1">
      <alignment horizontal="center"/>
    </xf>
    <xf numFmtId="5" fontId="9" fillId="0" borderId="1" xfId="9" applyNumberFormat="1" applyBorder="1" applyAlignment="1" applyProtection="1">
      <alignment horizontal="center"/>
    </xf>
    <xf numFmtId="0" fontId="9" fillId="0" borderId="6" xfId="9" applyBorder="1" applyAlignment="1" applyProtection="1">
      <alignment horizontal="center"/>
    </xf>
    <xf numFmtId="0" fontId="9" fillId="0" borderId="1" xfId="9" applyBorder="1" applyProtection="1"/>
    <xf numFmtId="49" fontId="69" fillId="3" borderId="0" xfId="0" applyNumberFormat="1" applyFont="1" applyFill="1" applyBorder="1" applyProtection="1"/>
    <xf numFmtId="0" fontId="15" fillId="3" borderId="0" xfId="0" applyFont="1" applyFill="1" applyBorder="1" applyAlignment="1" applyProtection="1">
      <alignment horizontal="center"/>
    </xf>
    <xf numFmtId="0" fontId="0" fillId="0" borderId="0" xfId="0" applyBorder="1" applyAlignment="1" applyProtection="1">
      <alignment horizontal="center"/>
    </xf>
    <xf numFmtId="0" fontId="0" fillId="0" borderId="52" xfId="0" applyFill="1" applyBorder="1" applyProtection="1"/>
    <xf numFmtId="0" fontId="49" fillId="0" borderId="52" xfId="0" applyFont="1" applyBorder="1" applyAlignment="1" applyProtection="1"/>
    <xf numFmtId="0" fontId="57" fillId="13" borderId="46" xfId="19" applyFont="1" applyFill="1" applyBorder="1" applyAlignment="1" applyProtection="1">
      <alignment horizontal="center" vertical="top" wrapText="1"/>
      <protection locked="0"/>
    </xf>
    <xf numFmtId="0" fontId="21" fillId="0" borderId="0" xfId="0" applyFont="1" applyBorder="1" applyAlignment="1" applyProtection="1">
      <alignment horizontal="center" vertical="center"/>
      <protection locked="0"/>
    </xf>
    <xf numFmtId="0" fontId="21" fillId="3" borderId="0" xfId="0" applyFont="1" applyFill="1" applyAlignment="1" applyProtection="1">
      <alignment horizontal="center"/>
    </xf>
    <xf numFmtId="0" fontId="24" fillId="0" borderId="0" xfId="0" applyFont="1" applyBorder="1" applyAlignment="1" applyProtection="1">
      <alignment horizontal="left" vertical="center"/>
    </xf>
    <xf numFmtId="0" fontId="61" fillId="0" borderId="109" xfId="0" applyFont="1" applyBorder="1" applyAlignment="1" applyProtection="1">
      <alignment vertical="center"/>
    </xf>
    <xf numFmtId="0" fontId="57" fillId="3" borderId="109" xfId="0" applyFont="1" applyFill="1" applyBorder="1" applyAlignment="1" applyProtection="1">
      <alignment vertical="center"/>
    </xf>
    <xf numFmtId="7" fontId="21" fillId="3" borderId="0" xfId="0" applyNumberFormat="1" applyFont="1" applyFill="1" applyBorder="1" applyAlignment="1" applyProtection="1">
      <alignment horizontal="center" vertical="center"/>
    </xf>
    <xf numFmtId="7" fontId="9" fillId="0" borderId="0" xfId="9" applyNumberFormat="1" applyAlignment="1" applyProtection="1">
      <alignment vertical="center"/>
    </xf>
    <xf numFmtId="2" fontId="9" fillId="0" borderId="0" xfId="9" applyNumberFormat="1" applyAlignment="1" applyProtection="1">
      <alignment vertical="center"/>
    </xf>
    <xf numFmtId="7" fontId="0" fillId="0" borderId="0" xfId="0" applyNumberFormat="1" applyProtection="1"/>
    <xf numFmtId="165" fontId="21" fillId="3" borderId="32" xfId="0" applyNumberFormat="1" applyFont="1" applyFill="1" applyBorder="1" applyAlignment="1" applyProtection="1">
      <alignment horizontal="center" vertical="center"/>
      <protection locked="0"/>
    </xf>
    <xf numFmtId="165" fontId="21" fillId="3" borderId="30" xfId="0" applyNumberFormat="1" applyFont="1" applyFill="1" applyBorder="1" applyAlignment="1" applyProtection="1">
      <alignment horizontal="center" vertical="center"/>
      <protection locked="0"/>
    </xf>
    <xf numFmtId="0" fontId="34" fillId="0" borderId="0" xfId="0" applyFont="1" applyFill="1" applyBorder="1" applyAlignment="1" applyProtection="1">
      <alignment wrapText="1"/>
    </xf>
    <xf numFmtId="0" fontId="0" fillId="0" borderId="0" xfId="0" applyFill="1" applyBorder="1" applyAlignment="1" applyProtection="1">
      <alignment vertical="center"/>
    </xf>
    <xf numFmtId="0" fontId="0" fillId="0" borderId="0" xfId="0" applyFill="1" applyAlignment="1" applyProtection="1">
      <alignment vertical="center"/>
    </xf>
    <xf numFmtId="165" fontId="21" fillId="3" borderId="0" xfId="0" applyNumberFormat="1" applyFont="1" applyFill="1" applyBorder="1" applyAlignment="1" applyProtection="1">
      <alignment vertical="center"/>
      <protection locked="0"/>
    </xf>
    <xf numFmtId="165" fontId="0" fillId="0" borderId="0" xfId="0" applyNumberFormat="1" applyBorder="1" applyAlignment="1" applyProtection="1">
      <alignment vertical="center"/>
    </xf>
    <xf numFmtId="10" fontId="21" fillId="0" borderId="0" xfId="2" applyNumberFormat="1" applyFont="1" applyBorder="1" applyAlignment="1" applyProtection="1">
      <alignment horizontal="center" vertical="center"/>
      <protection locked="0"/>
    </xf>
    <xf numFmtId="1" fontId="21" fillId="0" borderId="0" xfId="2" applyNumberFormat="1" applyFont="1" applyBorder="1" applyAlignment="1" applyProtection="1">
      <alignment vertical="center"/>
      <protection locked="0"/>
    </xf>
    <xf numFmtId="166" fontId="21" fillId="0" borderId="0" xfId="0" applyNumberFormat="1" applyFont="1" applyBorder="1" applyAlignment="1" applyProtection="1">
      <alignment horizontal="center" vertical="center"/>
      <protection locked="0"/>
    </xf>
    <xf numFmtId="0" fontId="58" fillId="3" borderId="19" xfId="0" applyFont="1" applyFill="1" applyBorder="1" applyAlignment="1" applyProtection="1">
      <alignment horizontal="center" vertical="center"/>
      <protection locked="0"/>
    </xf>
    <xf numFmtId="0" fontId="42" fillId="3" borderId="0" xfId="0" applyFont="1" applyFill="1" applyBorder="1" applyAlignment="1" applyProtection="1">
      <alignment horizontal="center" vertical="center"/>
    </xf>
    <xf numFmtId="0" fontId="0" fillId="0" borderId="0" xfId="0" applyAlignment="1"/>
    <xf numFmtId="0" fontId="0" fillId="3" borderId="0" xfId="0" applyFill="1" applyBorder="1" applyAlignment="1" applyProtection="1"/>
    <xf numFmtId="0" fontId="16" fillId="3" borderId="0" xfId="0" applyFont="1" applyFill="1" applyAlignment="1" applyProtection="1"/>
    <xf numFmtId="0" fontId="16" fillId="3" borderId="0" xfId="0" applyFont="1" applyFill="1" applyBorder="1" applyAlignment="1" applyProtection="1"/>
    <xf numFmtId="0" fontId="16" fillId="3" borderId="1" xfId="0" applyFont="1" applyFill="1" applyBorder="1" applyAlignment="1" applyProtection="1">
      <alignment horizontal="center" vertical="center"/>
    </xf>
    <xf numFmtId="0" fontId="0" fillId="0" borderId="1" xfId="0" applyBorder="1" applyAlignment="1" applyProtection="1">
      <alignment horizontal="center" vertical="center"/>
    </xf>
    <xf numFmtId="0" fontId="82" fillId="3" borderId="55" xfId="0" applyFont="1" applyFill="1" applyBorder="1" applyAlignment="1" applyProtection="1">
      <alignment vertical="center" wrapText="1"/>
      <protection locked="0"/>
    </xf>
    <xf numFmtId="0" fontId="82" fillId="3" borderId="0" xfId="0" applyFont="1" applyFill="1" applyBorder="1" applyAlignment="1" applyProtection="1">
      <alignment vertical="top" wrapText="1"/>
    </xf>
    <xf numFmtId="0" fontId="0" fillId="0" borderId="47" xfId="0" applyBorder="1" applyAlignment="1" applyProtection="1"/>
    <xf numFmtId="0" fontId="82" fillId="3" borderId="58" xfId="0" applyFont="1" applyFill="1" applyBorder="1" applyAlignment="1" applyProtection="1">
      <alignment vertical="center" wrapText="1"/>
      <protection locked="0"/>
    </xf>
    <xf numFmtId="0" fontId="49" fillId="0" borderId="0" xfId="0" applyFont="1" applyBorder="1" applyAlignment="1" applyProtection="1"/>
    <xf numFmtId="0" fontId="82" fillId="3" borderId="47" xfId="0" applyFont="1" applyFill="1" applyBorder="1" applyAlignment="1" applyProtection="1">
      <alignment vertical="center" wrapText="1"/>
      <protection locked="0"/>
    </xf>
    <xf numFmtId="0" fontId="76" fillId="3" borderId="58" xfId="19" applyFont="1" applyFill="1" applyBorder="1" applyAlignment="1" applyProtection="1">
      <alignment horizontal="center" vertical="center"/>
    </xf>
    <xf numFmtId="0" fontId="0" fillId="0" borderId="0" xfId="0" applyBorder="1"/>
    <xf numFmtId="0" fontId="21" fillId="3" borderId="58" xfId="0" applyFont="1" applyFill="1" applyBorder="1" applyAlignment="1" applyProtection="1">
      <alignment horizontal="center" vertical="center"/>
    </xf>
    <xf numFmtId="0" fontId="0" fillId="3" borderId="31" xfId="0" applyFill="1" applyBorder="1" applyProtection="1"/>
    <xf numFmtId="0" fontId="0" fillId="0" borderId="47" xfId="0" applyBorder="1" applyAlignment="1" applyProtection="1">
      <alignment horizontal="center"/>
    </xf>
    <xf numFmtId="0" fontId="0" fillId="0" borderId="52" xfId="0" applyBorder="1" applyAlignment="1" applyProtection="1">
      <alignment vertical="center"/>
    </xf>
    <xf numFmtId="0" fontId="21" fillId="0" borderId="52" xfId="0" applyFont="1" applyBorder="1" applyAlignment="1" applyProtection="1">
      <alignment vertical="center"/>
    </xf>
    <xf numFmtId="165" fontId="16" fillId="0" borderId="0" xfId="0" applyNumberFormat="1" applyFont="1" applyBorder="1" applyProtection="1"/>
    <xf numFmtId="0" fontId="0" fillId="0" borderId="42" xfId="0" applyBorder="1" applyProtection="1"/>
    <xf numFmtId="0" fontId="57" fillId="13" borderId="44" xfId="19" applyFont="1" applyFill="1" applyBorder="1" applyAlignment="1" applyProtection="1">
      <alignment horizontal="center" vertical="top" wrapText="1"/>
      <protection locked="0"/>
    </xf>
    <xf numFmtId="0" fontId="61" fillId="3" borderId="0" xfId="0" applyFont="1" applyFill="1" applyBorder="1" applyAlignment="1" applyProtection="1">
      <alignment horizontal="right" vertical="center"/>
    </xf>
    <xf numFmtId="0" fontId="57" fillId="13" borderId="45" xfId="19" applyFont="1" applyFill="1" applyBorder="1" applyAlignment="1" applyProtection="1">
      <alignment horizontal="center" vertical="top" wrapText="1"/>
      <protection locked="0"/>
    </xf>
    <xf numFmtId="166" fontId="21" fillId="0" borderId="0" xfId="0" applyNumberFormat="1" applyFont="1" applyFill="1" applyBorder="1" applyAlignment="1" applyProtection="1">
      <alignment horizontal="center" vertical="center"/>
      <protection locked="0"/>
    </xf>
    <xf numFmtId="0" fontId="34" fillId="0" borderId="0" xfId="0" applyFont="1" applyFill="1" applyBorder="1" applyAlignment="1" applyProtection="1">
      <alignment vertical="center" wrapText="1"/>
    </xf>
    <xf numFmtId="0" fontId="34" fillId="0" borderId="0" xfId="0" applyFont="1" applyFill="1" applyBorder="1" applyAlignment="1" applyProtection="1">
      <alignment vertical="center"/>
    </xf>
    <xf numFmtId="0" fontId="0" fillId="0" borderId="0" xfId="0" applyFill="1" applyBorder="1" applyAlignment="1" applyProtection="1">
      <alignment horizontal="center" vertical="center"/>
    </xf>
    <xf numFmtId="0" fontId="21" fillId="0" borderId="0" xfId="0" applyFont="1" applyFill="1" applyBorder="1" applyAlignment="1" applyProtection="1">
      <alignment horizontal="center" vertical="center"/>
      <protection locked="0"/>
    </xf>
    <xf numFmtId="165" fontId="21" fillId="0" borderId="0" xfId="0" applyNumberFormat="1" applyFont="1" applyFill="1" applyBorder="1" applyAlignment="1" applyProtection="1">
      <alignment vertical="center"/>
      <protection locked="0"/>
    </xf>
    <xf numFmtId="165" fontId="21" fillId="0" borderId="0" xfId="0" applyNumberFormat="1" applyFont="1" applyFill="1" applyBorder="1" applyAlignment="1" applyProtection="1">
      <alignment vertical="center"/>
    </xf>
    <xf numFmtId="10" fontId="21" fillId="0" borderId="0" xfId="2" applyNumberFormat="1" applyFont="1" applyFill="1" applyBorder="1" applyAlignment="1" applyProtection="1">
      <alignment horizontal="center" vertical="center"/>
      <protection locked="0"/>
    </xf>
    <xf numFmtId="1" fontId="21" fillId="0" borderId="0" xfId="2" applyNumberFormat="1" applyFont="1" applyFill="1" applyBorder="1" applyAlignment="1" applyProtection="1">
      <alignment horizontal="center" vertical="center"/>
      <protection locked="0"/>
    </xf>
    <xf numFmtId="165" fontId="21" fillId="0" borderId="0" xfId="2" applyNumberFormat="1" applyFont="1" applyFill="1" applyBorder="1" applyAlignment="1" applyProtection="1">
      <alignment horizontal="center" vertical="center"/>
      <protection locked="0"/>
    </xf>
    <xf numFmtId="165" fontId="21" fillId="0" borderId="0" xfId="0" applyNumberFormat="1" applyFont="1" applyFill="1" applyBorder="1" applyAlignment="1" applyProtection="1">
      <alignment horizontal="center" vertical="center"/>
      <protection locked="0"/>
    </xf>
    <xf numFmtId="10" fontId="21" fillId="0" borderId="0" xfId="2" applyNumberFormat="1" applyFont="1" applyFill="1" applyBorder="1" applyAlignment="1" applyProtection="1">
      <alignment horizontal="center" vertical="center" wrapText="1"/>
      <protection locked="0"/>
    </xf>
    <xf numFmtId="1" fontId="21" fillId="0" borderId="0" xfId="2"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center"/>
    </xf>
    <xf numFmtId="0" fontId="38" fillId="0" borderId="0" xfId="0" applyFont="1" applyFill="1" applyBorder="1" applyAlignment="1" applyProtection="1">
      <alignment vertical="center"/>
    </xf>
    <xf numFmtId="49" fontId="69" fillId="3" borderId="17" xfId="0" quotePrefix="1" applyNumberFormat="1" applyFont="1" applyFill="1" applyBorder="1" applyAlignment="1" applyProtection="1">
      <alignment horizontal="center" vertical="center" wrapText="1"/>
      <protection locked="0"/>
    </xf>
    <xf numFmtId="1" fontId="69" fillId="3" borderId="225" xfId="0" applyNumberFormat="1" applyFont="1" applyFill="1" applyBorder="1" applyAlignment="1" applyProtection="1">
      <alignment horizontal="center" vertical="center"/>
      <protection locked="0"/>
    </xf>
    <xf numFmtId="49" fontId="69" fillId="3" borderId="19" xfId="0" quotePrefix="1" applyNumberFormat="1" applyFont="1" applyFill="1" applyBorder="1" applyAlignment="1" applyProtection="1">
      <alignment horizontal="center" vertical="center" wrapText="1"/>
      <protection locked="0"/>
    </xf>
    <xf numFmtId="1" fontId="69" fillId="3" borderId="226" xfId="0" applyNumberFormat="1" applyFont="1" applyFill="1" applyBorder="1" applyAlignment="1" applyProtection="1">
      <alignment horizontal="center" vertical="center"/>
      <protection locked="0"/>
    </xf>
    <xf numFmtId="49" fontId="69" fillId="3" borderId="19" xfId="0" applyNumberFormat="1" applyFont="1" applyFill="1" applyBorder="1" applyAlignment="1" applyProtection="1">
      <alignment horizontal="center" vertical="center" wrapText="1"/>
      <protection locked="0"/>
    </xf>
    <xf numFmtId="49" fontId="69" fillId="3" borderId="157" xfId="0" applyNumberFormat="1" applyFont="1" applyFill="1" applyBorder="1" applyAlignment="1" applyProtection="1">
      <alignment horizontal="center" vertical="center" wrapText="1"/>
      <protection locked="0"/>
    </xf>
    <xf numFmtId="1" fontId="69" fillId="3" borderId="227" xfId="0" applyNumberFormat="1" applyFont="1" applyFill="1" applyBorder="1" applyAlignment="1" applyProtection="1">
      <alignment horizontal="center" vertical="center"/>
      <protection locked="0"/>
    </xf>
    <xf numFmtId="0" fontId="87" fillId="0" borderId="1" xfId="0" applyFont="1" applyBorder="1" applyAlignment="1" applyProtection="1">
      <alignment vertical="center"/>
    </xf>
    <xf numFmtId="0" fontId="16" fillId="2" borderId="1" xfId="0" applyFont="1" applyFill="1" applyBorder="1" applyProtection="1"/>
    <xf numFmtId="0" fontId="21" fillId="0" borderId="150" xfId="0" applyFont="1" applyBorder="1" applyAlignment="1" applyProtection="1">
      <alignment horizontal="center" vertical="center"/>
      <protection locked="0"/>
    </xf>
    <xf numFmtId="0" fontId="21" fillId="0" borderId="32" xfId="0" applyFont="1" applyBorder="1" applyAlignment="1" applyProtection="1">
      <alignment horizontal="center" vertical="center"/>
      <protection locked="0"/>
    </xf>
    <xf numFmtId="165" fontId="21" fillId="0" borderId="221" xfId="0" applyNumberFormat="1" applyFont="1" applyBorder="1" applyAlignment="1" applyProtection="1">
      <alignment horizontal="center" vertical="center"/>
      <protection locked="0"/>
    </xf>
    <xf numFmtId="165" fontId="21" fillId="0" borderId="151" xfId="0" applyNumberFormat="1" applyFont="1" applyBorder="1" applyAlignment="1" applyProtection="1">
      <alignment horizontal="center" vertical="center"/>
      <protection locked="0"/>
    </xf>
    <xf numFmtId="165" fontId="21" fillId="0" borderId="151" xfId="0" applyNumberFormat="1" applyFont="1" applyBorder="1" applyAlignment="1" applyProtection="1">
      <alignment horizontal="center"/>
      <protection locked="0"/>
    </xf>
    <xf numFmtId="0" fontId="21" fillId="0" borderId="32" xfId="0" applyFont="1" applyBorder="1" applyAlignment="1" applyProtection="1">
      <alignment horizontal="center"/>
      <protection locked="0"/>
    </xf>
    <xf numFmtId="0" fontId="0" fillId="0" borderId="31" xfId="0" applyBorder="1" applyProtection="1"/>
    <xf numFmtId="0" fontId="57" fillId="8" borderId="0" xfId="19" applyFont="1" applyFill="1" applyBorder="1" applyAlignment="1" applyProtection="1">
      <alignment horizontal="center" vertical="top" wrapText="1"/>
      <protection locked="0"/>
    </xf>
    <xf numFmtId="0" fontId="93" fillId="3" borderId="47" xfId="19" applyFont="1" applyFill="1" applyBorder="1" applyAlignment="1" applyProtection="1">
      <alignment vertical="center"/>
    </xf>
    <xf numFmtId="0" fontId="93" fillId="3" borderId="47" xfId="19" applyFont="1" applyFill="1" applyBorder="1" applyAlignment="1" applyProtection="1">
      <alignment horizontal="center" vertical="center"/>
    </xf>
    <xf numFmtId="0" fontId="93" fillId="0" borderId="0" xfId="0" applyFont="1" applyFill="1" applyBorder="1" applyProtection="1"/>
    <xf numFmtId="0" fontId="57" fillId="3" borderId="47" xfId="0" applyFont="1" applyFill="1" applyBorder="1" applyAlignment="1" applyProtection="1">
      <alignment horizontal="center"/>
    </xf>
    <xf numFmtId="0" fontId="57" fillId="0" borderId="0" xfId="0" applyFont="1" applyBorder="1" applyAlignment="1" applyProtection="1">
      <alignment vertical="top"/>
    </xf>
    <xf numFmtId="0" fontId="57" fillId="0" borderId="47" xfId="0" applyFont="1" applyBorder="1" applyAlignment="1" applyProtection="1">
      <alignment vertical="top"/>
    </xf>
    <xf numFmtId="0" fontId="57" fillId="0" borderId="47" xfId="0" applyFont="1" applyBorder="1" applyProtection="1"/>
    <xf numFmtId="0" fontId="69" fillId="3" borderId="0" xfId="0" applyFont="1" applyFill="1" applyAlignment="1" applyProtection="1">
      <alignment horizontal="right"/>
    </xf>
    <xf numFmtId="0" fontId="82" fillId="0" borderId="0" xfId="0" applyFont="1" applyBorder="1" applyAlignment="1">
      <alignment horizontal="center" vertical="top" wrapText="1"/>
    </xf>
    <xf numFmtId="0" fontId="61" fillId="12" borderId="0" xfId="0" applyFont="1" applyFill="1" applyBorder="1"/>
    <xf numFmtId="49" fontId="16" fillId="0" borderId="0" xfId="0" quotePrefix="1" applyNumberFormat="1" applyFont="1" applyAlignment="1" applyProtection="1">
      <alignment horizontal="left"/>
    </xf>
    <xf numFmtId="167" fontId="21" fillId="0" borderId="17" xfId="0" applyNumberFormat="1" applyFont="1" applyBorder="1" applyAlignment="1" applyProtection="1">
      <alignment horizontal="center" vertical="center"/>
      <protection locked="0"/>
    </xf>
    <xf numFmtId="167" fontId="21" fillId="0" borderId="19" xfId="0" applyNumberFormat="1" applyFont="1" applyBorder="1" applyAlignment="1" applyProtection="1">
      <alignment horizontal="center" vertical="center"/>
      <protection locked="0"/>
    </xf>
    <xf numFmtId="167" fontId="21" fillId="0" borderId="19" xfId="0" applyNumberFormat="1" applyFont="1" applyBorder="1" applyAlignment="1" applyProtection="1">
      <alignment horizontal="center"/>
      <protection locked="0"/>
    </xf>
    <xf numFmtId="2" fontId="20" fillId="2" borderId="0" xfId="0" applyNumberFormat="1" applyFont="1" applyFill="1" applyBorder="1" applyAlignment="1" applyProtection="1">
      <alignment horizontal="center" vertical="center"/>
    </xf>
    <xf numFmtId="166" fontId="9" fillId="0" borderId="0" xfId="9" applyNumberFormat="1" applyProtection="1"/>
    <xf numFmtId="0" fontId="69" fillId="3" borderId="47" xfId="0" applyFont="1" applyFill="1" applyBorder="1" applyAlignment="1" applyProtection="1">
      <alignment horizontal="left"/>
    </xf>
    <xf numFmtId="0" fontId="69" fillId="10" borderId="47" xfId="9" applyFont="1" applyFill="1" applyBorder="1" applyAlignment="1" applyProtection="1">
      <alignment horizontal="left" wrapText="1"/>
    </xf>
    <xf numFmtId="0" fontId="7" fillId="0" borderId="0" xfId="20" applyProtection="1"/>
    <xf numFmtId="49" fontId="9" fillId="0" borderId="0" xfId="9" applyNumberFormat="1" applyAlignment="1" applyProtection="1">
      <alignment horizontal="center"/>
    </xf>
    <xf numFmtId="14" fontId="72" fillId="3" borderId="0" xfId="0" applyNumberFormat="1" applyFont="1" applyFill="1" applyBorder="1" applyAlignment="1" applyProtection="1">
      <alignment vertical="center" wrapText="1"/>
    </xf>
    <xf numFmtId="5" fontId="21" fillId="3" borderId="19" xfId="0" applyNumberFormat="1" applyFont="1" applyFill="1" applyBorder="1" applyAlignment="1" applyProtection="1">
      <alignment horizontal="center" vertical="center"/>
      <protection locked="0"/>
    </xf>
    <xf numFmtId="165" fontId="21" fillId="3" borderId="184" xfId="1" applyNumberFormat="1" applyFont="1" applyFill="1" applyBorder="1" applyAlignment="1" applyProtection="1">
      <alignment horizontal="center" vertical="center"/>
      <protection locked="0"/>
    </xf>
    <xf numFmtId="165" fontId="21" fillId="3" borderId="67" xfId="1" applyNumberFormat="1" applyFont="1" applyFill="1" applyBorder="1" applyAlignment="1" applyProtection="1">
      <alignment horizontal="center" vertical="center"/>
      <protection locked="0"/>
    </xf>
    <xf numFmtId="165" fontId="21" fillId="3" borderId="185" xfId="1" applyNumberFormat="1" applyFont="1" applyFill="1" applyBorder="1" applyAlignment="1" applyProtection="1">
      <alignment horizontal="center" vertical="center"/>
      <protection locked="0"/>
    </xf>
    <xf numFmtId="165" fontId="21" fillId="3" borderId="182" xfId="0" applyNumberFormat="1" applyFont="1" applyFill="1" applyBorder="1" applyAlignment="1" applyProtection="1">
      <alignment horizontal="center" vertical="center"/>
      <protection locked="0"/>
    </xf>
    <xf numFmtId="165" fontId="21" fillId="3" borderId="21" xfId="0" applyNumberFormat="1" applyFont="1" applyFill="1" applyBorder="1" applyAlignment="1" applyProtection="1">
      <alignment horizontal="center" vertical="center"/>
      <protection locked="0"/>
    </xf>
    <xf numFmtId="165" fontId="21" fillId="3" borderId="186" xfId="0" applyNumberFormat="1" applyFont="1" applyFill="1" applyBorder="1" applyAlignment="1" applyProtection="1">
      <alignment horizontal="center" vertical="center"/>
      <protection locked="0"/>
    </xf>
    <xf numFmtId="165" fontId="21" fillId="3" borderId="70" xfId="1" applyNumberFormat="1" applyFont="1" applyFill="1" applyBorder="1" applyAlignment="1" applyProtection="1">
      <alignment horizontal="center" vertical="center"/>
      <protection locked="0"/>
    </xf>
    <xf numFmtId="165" fontId="21" fillId="3" borderId="19" xfId="1" applyNumberFormat="1" applyFont="1" applyFill="1" applyBorder="1" applyAlignment="1" applyProtection="1">
      <alignment horizontal="center" vertical="center"/>
      <protection locked="0"/>
    </xf>
    <xf numFmtId="165" fontId="21" fillId="3" borderId="187" xfId="1" applyNumberFormat="1" applyFont="1" applyFill="1" applyBorder="1" applyAlignment="1" applyProtection="1">
      <alignment horizontal="center" vertical="center"/>
      <protection locked="0"/>
    </xf>
    <xf numFmtId="165" fontId="21" fillId="3" borderId="183" xfId="1" applyNumberFormat="1" applyFont="1" applyFill="1" applyBorder="1" applyAlignment="1" applyProtection="1">
      <alignment horizontal="center" vertical="center"/>
      <protection locked="0"/>
    </xf>
    <xf numFmtId="165" fontId="21" fillId="3" borderId="134" xfId="1" applyNumberFormat="1" applyFont="1" applyFill="1" applyBorder="1" applyAlignment="1" applyProtection="1">
      <alignment horizontal="center" vertical="center"/>
      <protection locked="0"/>
    </xf>
    <xf numFmtId="165" fontId="21" fillId="3" borderId="188" xfId="1" applyNumberFormat="1" applyFont="1" applyFill="1" applyBorder="1" applyAlignment="1" applyProtection="1">
      <alignment horizontal="center" vertical="center"/>
      <protection locked="0"/>
    </xf>
    <xf numFmtId="165" fontId="21" fillId="3" borderId="204" xfId="1" applyNumberFormat="1" applyFont="1" applyFill="1" applyBorder="1" applyAlignment="1" applyProtection="1">
      <alignment horizontal="center" vertical="center"/>
      <protection locked="0"/>
    </xf>
    <xf numFmtId="165" fontId="21" fillId="3" borderId="162" xfId="1" applyNumberFormat="1" applyFont="1" applyFill="1" applyBorder="1" applyAlignment="1" applyProtection="1">
      <alignment horizontal="center" vertical="center"/>
      <protection locked="0"/>
    </xf>
    <xf numFmtId="165" fontId="21" fillId="3" borderId="160" xfId="1" applyNumberFormat="1" applyFont="1" applyFill="1" applyBorder="1" applyAlignment="1" applyProtection="1">
      <alignment horizontal="center" vertical="center"/>
      <protection locked="0"/>
    </xf>
    <xf numFmtId="165" fontId="21" fillId="3" borderId="69" xfId="1" applyNumberFormat="1" applyFont="1" applyFill="1" applyBorder="1" applyAlignment="1" applyProtection="1">
      <alignment horizontal="center" vertical="center"/>
      <protection locked="0"/>
    </xf>
    <xf numFmtId="165" fontId="21" fillId="3" borderId="216" xfId="1" applyNumberFormat="1" applyFont="1" applyFill="1" applyBorder="1" applyAlignment="1" applyProtection="1">
      <alignment horizontal="center" vertical="center"/>
      <protection locked="0"/>
    </xf>
    <xf numFmtId="165" fontId="21" fillId="3" borderId="135" xfId="1" applyNumberFormat="1" applyFont="1" applyFill="1" applyBorder="1" applyAlignment="1" applyProtection="1">
      <alignment horizontal="center" vertical="center"/>
      <protection locked="0"/>
    </xf>
    <xf numFmtId="165" fontId="21" fillId="3" borderId="61" xfId="1" applyNumberFormat="1" applyFont="1" applyFill="1" applyBorder="1" applyAlignment="1" applyProtection="1">
      <alignment horizontal="center" vertical="center"/>
      <protection locked="0"/>
    </xf>
    <xf numFmtId="165" fontId="21" fillId="3" borderId="217" xfId="1" applyNumberFormat="1" applyFont="1" applyFill="1" applyBorder="1" applyAlignment="1" applyProtection="1">
      <alignment horizontal="center" vertical="center"/>
      <protection locked="0"/>
    </xf>
    <xf numFmtId="165" fontId="21" fillId="3" borderId="61" xfId="0" applyNumberFormat="1" applyFont="1" applyFill="1" applyBorder="1" applyAlignment="1" applyProtection="1">
      <alignment horizontal="center" vertical="center"/>
      <protection locked="0"/>
    </xf>
    <xf numFmtId="165" fontId="21" fillId="3" borderId="217" xfId="0" applyNumberFormat="1" applyFont="1" applyFill="1" applyBorder="1" applyAlignment="1" applyProtection="1">
      <alignment horizontal="center" vertical="center"/>
      <protection locked="0"/>
    </xf>
    <xf numFmtId="165" fontId="21" fillId="3" borderId="218" xfId="1" applyNumberFormat="1" applyFont="1" applyFill="1" applyBorder="1" applyAlignment="1" applyProtection="1">
      <alignment horizontal="center" vertical="center"/>
      <protection locked="0"/>
    </xf>
    <xf numFmtId="165" fontId="21" fillId="3" borderId="219" xfId="1" applyNumberFormat="1" applyFont="1" applyFill="1" applyBorder="1" applyAlignment="1" applyProtection="1">
      <alignment horizontal="center" vertical="center"/>
      <protection locked="0"/>
    </xf>
    <xf numFmtId="165" fontId="20" fillId="4" borderId="89" xfId="1" applyNumberFormat="1" applyFont="1" applyFill="1" applyBorder="1" applyAlignment="1" applyProtection="1">
      <alignment horizontal="center" vertical="center"/>
    </xf>
    <xf numFmtId="165" fontId="20" fillId="4" borderId="90" xfId="1" applyNumberFormat="1" applyFont="1" applyFill="1" applyBorder="1" applyAlignment="1" applyProtection="1">
      <alignment horizontal="center" vertical="center"/>
    </xf>
    <xf numFmtId="165" fontId="20" fillId="4" borderId="91" xfId="1" applyNumberFormat="1" applyFont="1" applyFill="1" applyBorder="1" applyAlignment="1" applyProtection="1">
      <alignment horizontal="center" vertical="center"/>
    </xf>
    <xf numFmtId="165" fontId="21" fillId="3" borderId="70" xfId="0" applyNumberFormat="1" applyFont="1" applyFill="1" applyBorder="1" applyAlignment="1" applyProtection="1">
      <alignment horizontal="center" vertical="center"/>
      <protection locked="0"/>
    </xf>
    <xf numFmtId="165" fontId="21" fillId="3" borderId="187" xfId="0" applyNumberFormat="1" applyFont="1" applyFill="1" applyBorder="1" applyAlignment="1" applyProtection="1">
      <alignment horizontal="center" vertical="center"/>
      <protection locked="0"/>
    </xf>
    <xf numFmtId="165" fontId="21" fillId="3" borderId="204" xfId="0" applyNumberFormat="1" applyFont="1" applyFill="1" applyBorder="1" applyAlignment="1" applyProtection="1">
      <alignment horizontal="center"/>
      <protection locked="0"/>
    </xf>
    <xf numFmtId="165" fontId="21" fillId="3" borderId="69" xfId="0" applyNumberFormat="1" applyFont="1" applyFill="1" applyBorder="1" applyAlignment="1" applyProtection="1">
      <alignment horizontal="center"/>
      <protection locked="0"/>
    </xf>
    <xf numFmtId="165" fontId="21" fillId="3" borderId="189" xfId="1" applyNumberFormat="1" applyFont="1" applyFill="1" applyBorder="1" applyAlignment="1" applyProtection="1">
      <alignment horizontal="center" vertical="center"/>
      <protection locked="0"/>
    </xf>
    <xf numFmtId="165" fontId="21" fillId="0" borderId="222" xfId="0" applyNumberFormat="1" applyFont="1" applyBorder="1" applyAlignment="1" applyProtection="1">
      <alignment horizontal="center" vertical="center"/>
      <protection locked="0"/>
    </xf>
    <xf numFmtId="165" fontId="21" fillId="0" borderId="223" xfId="0" applyNumberFormat="1" applyFont="1" applyBorder="1" applyAlignment="1" applyProtection="1">
      <alignment horizontal="center" vertical="center"/>
      <protection locked="0"/>
    </xf>
    <xf numFmtId="165" fontId="21" fillId="0" borderId="223" xfId="0" applyNumberFormat="1" applyFont="1" applyBorder="1" applyAlignment="1" applyProtection="1">
      <alignment horizontal="center"/>
      <protection locked="0"/>
    </xf>
    <xf numFmtId="165" fontId="21" fillId="0" borderId="17" xfId="0" applyNumberFormat="1" applyFont="1" applyBorder="1" applyAlignment="1" applyProtection="1">
      <alignment horizontal="center" vertical="center"/>
      <protection locked="0"/>
    </xf>
    <xf numFmtId="165" fontId="21" fillId="0" borderId="19" xfId="0" applyNumberFormat="1" applyFont="1" applyBorder="1" applyAlignment="1" applyProtection="1">
      <alignment horizontal="center"/>
      <protection locked="0"/>
    </xf>
    <xf numFmtId="165" fontId="48" fillId="3" borderId="50" xfId="0" applyNumberFormat="1" applyFont="1" applyFill="1" applyBorder="1" applyAlignment="1" applyProtection="1">
      <alignment horizontal="center" vertical="center"/>
      <protection locked="0"/>
    </xf>
    <xf numFmtId="1" fontId="21" fillId="3" borderId="50" xfId="0" applyNumberFormat="1" applyFont="1" applyFill="1" applyBorder="1" applyAlignment="1" applyProtection="1">
      <alignment horizontal="center" vertical="center"/>
      <protection locked="0"/>
    </xf>
    <xf numFmtId="0" fontId="87" fillId="0" borderId="0" xfId="0" applyFont="1" applyAlignment="1" applyProtection="1">
      <alignment horizontal="center"/>
    </xf>
    <xf numFmtId="0" fontId="20" fillId="0" borderId="0" xfId="0" applyFont="1" applyBorder="1" applyProtection="1"/>
    <xf numFmtId="0" fontId="16" fillId="2" borderId="1" xfId="0" applyFont="1" applyFill="1" applyBorder="1" applyAlignment="1" applyProtection="1">
      <alignment horizontal="center" vertical="center"/>
    </xf>
    <xf numFmtId="0" fontId="26" fillId="0" borderId="1" xfId="0" applyFont="1" applyBorder="1" applyAlignment="1" applyProtection="1">
      <alignment vertical="center"/>
    </xf>
    <xf numFmtId="0" fontId="12" fillId="0" borderId="0" xfId="0" applyFont="1" applyAlignment="1" applyProtection="1">
      <alignment vertical="center"/>
    </xf>
    <xf numFmtId="5" fontId="16" fillId="0" borderId="0" xfId="0" applyNumberFormat="1" applyFont="1" applyAlignment="1" applyProtection="1">
      <alignment horizontal="center" vertical="center"/>
    </xf>
    <xf numFmtId="166" fontId="16" fillId="0" borderId="0" xfId="0" applyNumberFormat="1" applyFont="1" applyAlignment="1" applyProtection="1">
      <alignment horizontal="center" vertical="center"/>
    </xf>
    <xf numFmtId="0" fontId="16" fillId="0" borderId="0" xfId="0" quotePrefix="1" applyNumberFormat="1" applyFont="1" applyAlignment="1" applyProtection="1">
      <alignment horizontal="left" vertical="center"/>
    </xf>
    <xf numFmtId="0" fontId="26" fillId="0" borderId="0" xfId="0" applyFont="1" applyAlignment="1" applyProtection="1">
      <alignment vertical="center"/>
    </xf>
    <xf numFmtId="49" fontId="16" fillId="0" borderId="0" xfId="0" applyNumberFormat="1" applyFont="1" applyAlignment="1" applyProtection="1">
      <alignment horizontal="left" vertical="center"/>
    </xf>
    <xf numFmtId="0" fontId="26" fillId="6" borderId="1" xfId="0" applyFont="1" applyFill="1" applyBorder="1" applyAlignment="1" applyProtection="1">
      <alignment vertical="center"/>
    </xf>
    <xf numFmtId="0" fontId="87" fillId="0" borderId="0" xfId="0" applyFont="1" applyAlignment="1" applyProtection="1">
      <alignment horizontal="center" vertical="center"/>
    </xf>
    <xf numFmtId="0" fontId="16" fillId="0" borderId="0" xfId="0" applyNumberFormat="1" applyFont="1" applyAlignment="1" applyProtection="1">
      <alignment horizontal="left" vertical="center"/>
    </xf>
    <xf numFmtId="0" fontId="26" fillId="0" borderId="0" xfId="0" applyFont="1" applyBorder="1" applyAlignment="1" applyProtection="1">
      <alignment vertical="center"/>
    </xf>
    <xf numFmtId="0" fontId="16" fillId="2" borderId="1" xfId="0" applyFont="1" applyFill="1" applyBorder="1" applyAlignment="1" applyProtection="1">
      <alignment vertical="center"/>
    </xf>
    <xf numFmtId="0" fontId="16" fillId="0" borderId="0" xfId="0" applyFont="1" applyAlignment="1" applyProtection="1">
      <alignment horizontal="left" vertical="center"/>
    </xf>
    <xf numFmtId="1" fontId="16" fillId="0" borderId="0" xfId="0" applyNumberFormat="1" applyFont="1" applyAlignment="1" applyProtection="1">
      <alignment horizontal="center" vertical="center"/>
    </xf>
    <xf numFmtId="49" fontId="16" fillId="0" borderId="0" xfId="0" applyNumberFormat="1" applyFont="1" applyAlignment="1" applyProtection="1">
      <alignment vertical="center"/>
    </xf>
    <xf numFmtId="165" fontId="69" fillId="3" borderId="0" xfId="9" applyNumberFormat="1" applyFont="1" applyFill="1" applyBorder="1" applyAlignment="1" applyProtection="1">
      <alignment horizontal="center" vertical="center"/>
    </xf>
    <xf numFmtId="0" fontId="77" fillId="3" borderId="0" xfId="9" quotePrefix="1" applyFont="1" applyFill="1" applyBorder="1" applyAlignment="1" applyProtection="1">
      <alignment horizontal="center" vertical="center"/>
    </xf>
    <xf numFmtId="0" fontId="9" fillId="0" borderId="0" xfId="9" applyAlignment="1" applyProtection="1">
      <alignment vertical="center" wrapText="1"/>
    </xf>
    <xf numFmtId="0" fontId="9" fillId="0" borderId="0" xfId="9" applyAlignment="1" applyProtection="1">
      <alignment horizontal="center" vertical="center" wrapText="1"/>
    </xf>
    <xf numFmtId="0" fontId="7" fillId="0" borderId="0" xfId="9" applyFont="1" applyAlignment="1" applyProtection="1">
      <alignment horizontal="center" wrapText="1"/>
    </xf>
    <xf numFmtId="5" fontId="7" fillId="0" borderId="0" xfId="9" applyNumberFormat="1" applyFont="1" applyAlignment="1" applyProtection="1">
      <alignment horizontal="center" wrapText="1"/>
    </xf>
    <xf numFmtId="0" fontId="16" fillId="0" borderId="0" xfId="0" applyFont="1" applyAlignment="1" applyProtection="1">
      <alignment horizontal="center" wrapText="1"/>
    </xf>
    <xf numFmtId="167" fontId="16" fillId="0" borderId="0" xfId="2" applyNumberFormat="1" applyFont="1" applyAlignment="1" applyProtection="1">
      <alignment horizontal="center" wrapText="1"/>
    </xf>
    <xf numFmtId="166" fontId="7" fillId="0" borderId="0" xfId="9" applyNumberFormat="1" applyFont="1" applyAlignment="1" applyProtection="1">
      <alignment horizontal="center" wrapText="1"/>
    </xf>
    <xf numFmtId="166" fontId="9" fillId="0" borderId="0" xfId="9" applyNumberFormat="1" applyAlignment="1" applyProtection="1">
      <alignment wrapText="1"/>
    </xf>
    <xf numFmtId="0" fontId="7" fillId="0" borderId="0" xfId="20" applyAlignment="1" applyProtection="1">
      <alignment wrapText="1"/>
    </xf>
    <xf numFmtId="0" fontId="79" fillId="0" borderId="47" xfId="0" applyFont="1" applyFill="1" applyBorder="1" applyAlignment="1" applyProtection="1"/>
    <xf numFmtId="0" fontId="87" fillId="0" borderId="0" xfId="0" applyFont="1" applyProtection="1"/>
    <xf numFmtId="49" fontId="16" fillId="0" borderId="1" xfId="0" applyNumberFormat="1" applyFont="1" applyBorder="1" applyProtection="1"/>
    <xf numFmtId="0" fontId="15" fillId="3" borderId="8" xfId="0" applyFont="1" applyFill="1" applyBorder="1" applyAlignment="1">
      <alignment vertical="center"/>
    </xf>
    <xf numFmtId="0" fontId="15" fillId="3" borderId="0" xfId="0" applyFont="1" applyFill="1" applyBorder="1" applyAlignment="1">
      <alignment vertical="center"/>
    </xf>
    <xf numFmtId="0" fontId="70" fillId="3" borderId="0" xfId="0" applyFont="1" applyFill="1" applyAlignment="1">
      <alignment vertical="center"/>
    </xf>
    <xf numFmtId="49" fontId="10" fillId="3" borderId="1" xfId="0" applyNumberFormat="1" applyFont="1" applyFill="1" applyBorder="1" applyAlignment="1">
      <alignment vertical="center"/>
    </xf>
    <xf numFmtId="0" fontId="16" fillId="0" borderId="0" xfId="0" applyFont="1" applyAlignment="1" applyProtection="1">
      <alignment horizontal="right"/>
    </xf>
    <xf numFmtId="0" fontId="10" fillId="0" borderId="0" xfId="0" applyFont="1" applyAlignment="1">
      <alignment vertical="center"/>
    </xf>
    <xf numFmtId="0" fontId="0" fillId="0" borderId="0" xfId="0"/>
    <xf numFmtId="0" fontId="21" fillId="0" borderId="0" xfId="0" applyFont="1"/>
    <xf numFmtId="0" fontId="21" fillId="0" borderId="0" xfId="0" applyFont="1" applyAlignment="1">
      <alignment vertical="center"/>
    </xf>
    <xf numFmtId="0" fontId="16" fillId="0" borderId="0" xfId="0" applyFont="1" applyProtection="1"/>
    <xf numFmtId="0" fontId="94" fillId="0" borderId="0" xfId="0" applyFont="1" applyAlignment="1">
      <alignment horizontal="left" vertical="top"/>
    </xf>
    <xf numFmtId="0" fontId="61" fillId="3" borderId="0" xfId="0" applyFont="1" applyFill="1" applyAlignment="1">
      <alignment horizontal="left"/>
    </xf>
    <xf numFmtId="172" fontId="16" fillId="0" borderId="0" xfId="0" applyNumberFormat="1" applyFont="1" applyProtection="1"/>
    <xf numFmtId="0" fontId="57" fillId="13" borderId="44" xfId="19" applyFont="1" applyFill="1" applyBorder="1" applyAlignment="1" applyProtection="1">
      <alignment horizontal="center" vertical="top" wrapText="1"/>
      <protection locked="0"/>
    </xf>
    <xf numFmtId="0" fontId="57" fillId="13" borderId="45" xfId="19" applyFont="1" applyFill="1" applyBorder="1" applyAlignment="1" applyProtection="1">
      <alignment horizontal="center" vertical="top" wrapText="1"/>
      <protection locked="0"/>
    </xf>
    <xf numFmtId="0" fontId="57" fillId="13" borderId="22" xfId="19" applyFont="1" applyFill="1" applyBorder="1" applyAlignment="1" applyProtection="1">
      <alignment horizontal="center" vertical="top" wrapText="1"/>
      <protection locked="0"/>
    </xf>
    <xf numFmtId="0" fontId="57" fillId="13" borderId="0" xfId="19" applyFont="1" applyFill="1" applyBorder="1" applyAlignment="1" applyProtection="1">
      <alignment horizontal="center" vertical="top" wrapText="1"/>
      <protection locked="0"/>
    </xf>
    <xf numFmtId="170" fontId="34" fillId="17" borderId="36" xfId="0" applyNumberFormat="1" applyFont="1" applyFill="1" applyBorder="1" applyAlignment="1" applyProtection="1">
      <alignment horizontal="center" vertical="center"/>
    </xf>
    <xf numFmtId="0" fontId="24" fillId="0" borderId="0" xfId="0" applyFont="1" applyBorder="1" applyAlignment="1" applyProtection="1">
      <alignment vertical="center" wrapText="1"/>
    </xf>
    <xf numFmtId="0" fontId="34" fillId="17" borderId="38" xfId="0" applyFont="1" applyFill="1" applyBorder="1" applyAlignment="1" applyProtection="1">
      <alignment horizontal="center" vertical="center"/>
    </xf>
    <xf numFmtId="0" fontId="34" fillId="17" borderId="51" xfId="0" applyFont="1" applyFill="1" applyBorder="1" applyAlignment="1" applyProtection="1">
      <alignment horizontal="center" vertical="center"/>
    </xf>
    <xf numFmtId="0" fontId="34" fillId="17" borderId="39" xfId="0" applyFont="1" applyFill="1" applyBorder="1" applyAlignment="1" applyProtection="1">
      <alignment horizontal="center" vertical="center"/>
    </xf>
    <xf numFmtId="0" fontId="34" fillId="3" borderId="0" xfId="9" applyFont="1" applyFill="1" applyBorder="1" applyAlignment="1" applyProtection="1">
      <alignment vertical="center" wrapText="1"/>
    </xf>
    <xf numFmtId="0" fontId="34" fillId="3" borderId="0" xfId="9" applyFont="1" applyFill="1" applyBorder="1" applyAlignment="1" applyProtection="1">
      <alignment horizontal="center" vertical="center" wrapText="1"/>
    </xf>
    <xf numFmtId="0" fontId="9" fillId="3" borderId="0" xfId="9" applyFill="1" applyBorder="1" applyAlignment="1" applyProtection="1">
      <alignment vertical="center"/>
    </xf>
    <xf numFmtId="0" fontId="34" fillId="17" borderId="33" xfId="0" applyFont="1" applyFill="1" applyBorder="1" applyAlignment="1" applyProtection="1">
      <alignment horizontal="center" vertical="center"/>
    </xf>
    <xf numFmtId="168" fontId="21" fillId="0" borderId="0" xfId="0" applyNumberFormat="1" applyFont="1" applyBorder="1" applyAlignment="1" applyProtection="1">
      <alignment vertical="top"/>
    </xf>
    <xf numFmtId="165" fontId="21" fillId="0" borderId="240" xfId="0" applyNumberFormat="1" applyFont="1" applyBorder="1" applyAlignment="1" applyProtection="1">
      <alignment horizontal="center" vertical="center"/>
      <protection locked="0"/>
    </xf>
    <xf numFmtId="165" fontId="21" fillId="0" borderId="241" xfId="0" applyNumberFormat="1" applyFont="1" applyBorder="1" applyAlignment="1" applyProtection="1">
      <alignment horizontal="center" vertical="center"/>
      <protection locked="0"/>
    </xf>
    <xf numFmtId="165" fontId="21" fillId="0" borderId="242" xfId="0" applyNumberFormat="1" applyFont="1" applyBorder="1" applyAlignment="1" applyProtection="1">
      <alignment horizontal="center" vertical="center"/>
      <protection locked="0"/>
    </xf>
    <xf numFmtId="165" fontId="21" fillId="0" borderId="61" xfId="0" applyNumberFormat="1" applyFont="1" applyBorder="1" applyAlignment="1" applyProtection="1">
      <alignment horizontal="center" vertical="center"/>
      <protection locked="0"/>
    </xf>
    <xf numFmtId="165" fontId="21" fillId="0" borderId="217" xfId="0" applyNumberFormat="1" applyFont="1" applyBorder="1" applyAlignment="1" applyProtection="1">
      <alignment horizontal="center" vertical="center"/>
      <protection locked="0"/>
    </xf>
    <xf numFmtId="165" fontId="21" fillId="0" borderId="62" xfId="0" applyNumberFormat="1" applyFont="1" applyBorder="1" applyAlignment="1" applyProtection="1">
      <alignment horizontal="center" vertical="center"/>
      <protection locked="0"/>
    </xf>
    <xf numFmtId="165" fontId="21" fillId="0" borderId="63" xfId="0" applyNumberFormat="1" applyFont="1" applyBorder="1" applyAlignment="1" applyProtection="1">
      <alignment horizontal="center" vertical="center"/>
      <protection locked="0"/>
    </xf>
    <xf numFmtId="165" fontId="21" fillId="0" borderId="243" xfId="0" applyNumberFormat="1" applyFont="1" applyBorder="1" applyAlignment="1" applyProtection="1">
      <alignment horizontal="center" vertical="center"/>
      <protection locked="0"/>
    </xf>
    <xf numFmtId="0" fontId="7" fillId="0" borderId="0" xfId="20" applyFont="1" applyAlignment="1" applyProtection="1">
      <alignment horizontal="center"/>
    </xf>
    <xf numFmtId="0" fontId="7" fillId="0" borderId="0" xfId="20" applyFont="1" applyAlignment="1" applyProtection="1">
      <alignment horizontal="center" wrapText="1"/>
    </xf>
    <xf numFmtId="0" fontId="7" fillId="0" borderId="0" xfId="20" applyFont="1" applyAlignment="1" applyProtection="1">
      <alignment horizontal="center" vertical="center" wrapText="1"/>
    </xf>
    <xf numFmtId="0" fontId="7" fillId="0" borderId="0" xfId="20" applyAlignment="1" applyProtection="1">
      <alignment vertical="center" wrapText="1"/>
    </xf>
    <xf numFmtId="0" fontId="7" fillId="0" borderId="0" xfId="20" applyFont="1" applyAlignment="1" applyProtection="1">
      <alignment horizontal="center" vertical="center"/>
    </xf>
    <xf numFmtId="0" fontId="7" fillId="0" borderId="0" xfId="20" applyAlignment="1" applyProtection="1">
      <alignment vertical="center"/>
    </xf>
    <xf numFmtId="0" fontId="61" fillId="3" borderId="0" xfId="0" applyFont="1" applyFill="1" applyBorder="1" applyAlignment="1">
      <alignment horizontal="left" vertical="center"/>
    </xf>
    <xf numFmtId="0" fontId="59" fillId="3" borderId="0" xfId="0" applyFont="1" applyFill="1" applyAlignment="1">
      <alignment horizontal="left" vertical="center"/>
    </xf>
    <xf numFmtId="0" fontId="65" fillId="0" borderId="0" xfId="0" applyFont="1" applyAlignment="1"/>
    <xf numFmtId="0" fontId="61" fillId="12" borderId="246" xfId="0" applyFont="1" applyFill="1" applyBorder="1"/>
    <xf numFmtId="0" fontId="61" fillId="12" borderId="244" xfId="0" applyFont="1" applyFill="1" applyBorder="1"/>
    <xf numFmtId="0" fontId="61" fillId="12" borderId="247" xfId="0" applyFont="1" applyFill="1" applyBorder="1"/>
    <xf numFmtId="0" fontId="61" fillId="12" borderId="248" xfId="0" applyFont="1" applyFill="1" applyBorder="1" applyAlignment="1">
      <alignment horizontal="center"/>
    </xf>
    <xf numFmtId="0" fontId="61" fillId="12" borderId="250" xfId="0" applyFont="1" applyFill="1" applyBorder="1"/>
    <xf numFmtId="0" fontId="61" fillId="12" borderId="245" xfId="0" applyFont="1" applyFill="1" applyBorder="1"/>
    <xf numFmtId="0" fontId="61" fillId="12" borderId="251" xfId="0" applyFont="1" applyFill="1" applyBorder="1"/>
    <xf numFmtId="0" fontId="106" fillId="12" borderId="0" xfId="0" applyFont="1" applyFill="1" applyBorder="1" applyAlignment="1">
      <alignment horizontal="center"/>
    </xf>
    <xf numFmtId="0" fontId="61" fillId="12" borderId="0" xfId="0" applyFont="1" applyFill="1" applyBorder="1" applyAlignment="1">
      <alignment horizontal="center"/>
    </xf>
    <xf numFmtId="0" fontId="61" fillId="12" borderId="0" xfId="0" applyFont="1" applyFill="1" applyBorder="1" applyAlignment="1">
      <alignment horizontal="left" indent="1"/>
    </xf>
    <xf numFmtId="0" fontId="106" fillId="12" borderId="0" xfId="0" applyFont="1" applyFill="1" applyBorder="1" applyAlignment="1">
      <alignment horizontal="left"/>
    </xf>
    <xf numFmtId="0" fontId="61" fillId="12" borderId="0" xfId="0" applyFont="1" applyFill="1" applyBorder="1" applyAlignment="1">
      <alignment horizontal="center" vertical="center"/>
    </xf>
    <xf numFmtId="0" fontId="106" fillId="12" borderId="249" xfId="0" applyFont="1" applyFill="1" applyBorder="1" applyAlignment="1">
      <alignment horizontal="center"/>
    </xf>
    <xf numFmtId="2" fontId="69" fillId="0" borderId="0" xfId="9" applyNumberFormat="1" applyFont="1" applyBorder="1" applyAlignment="1" applyProtection="1">
      <alignment horizontal="left" vertical="top" wrapText="1"/>
    </xf>
    <xf numFmtId="168" fontId="57" fillId="3" borderId="60" xfId="2" applyNumberFormat="1" applyFont="1" applyFill="1" applyBorder="1" applyAlignment="1" applyProtection="1">
      <alignment horizontal="center" vertical="center"/>
      <protection locked="0"/>
    </xf>
    <xf numFmtId="168" fontId="61" fillId="3" borderId="60" xfId="2" applyNumberFormat="1" applyFont="1" applyFill="1" applyBorder="1" applyAlignment="1" applyProtection="1">
      <alignment horizontal="center" vertical="center"/>
      <protection locked="0"/>
    </xf>
    <xf numFmtId="0" fontId="57" fillId="3" borderId="0" xfId="0" applyFont="1" applyFill="1" applyBorder="1" applyAlignment="1" applyProtection="1">
      <alignment horizontal="center"/>
      <protection locked="0"/>
    </xf>
    <xf numFmtId="0" fontId="57" fillId="3" borderId="0" xfId="0" applyFont="1" applyFill="1" applyBorder="1" applyProtection="1">
      <protection locked="0"/>
    </xf>
    <xf numFmtId="0" fontId="57" fillId="0" borderId="0" xfId="0" applyFont="1" applyProtection="1">
      <protection locked="0"/>
    </xf>
    <xf numFmtId="0" fontId="93" fillId="3" borderId="0" xfId="19" applyFont="1" applyFill="1" applyBorder="1" applyAlignment="1" applyProtection="1">
      <alignment vertical="center"/>
    </xf>
    <xf numFmtId="0" fontId="93" fillId="3" borderId="0" xfId="19" applyFont="1" applyFill="1" applyBorder="1" applyAlignment="1" applyProtection="1">
      <alignment horizontal="center" vertical="center"/>
    </xf>
    <xf numFmtId="0" fontId="61" fillId="3" borderId="1" xfId="0" applyFont="1" applyFill="1" applyBorder="1" applyAlignment="1">
      <alignment vertical="center"/>
    </xf>
    <xf numFmtId="0" fontId="21" fillId="19" borderId="0" xfId="0" applyFont="1" applyFill="1" applyBorder="1" applyAlignment="1">
      <alignment vertical="center"/>
    </xf>
    <xf numFmtId="0" fontId="61" fillId="19" borderId="0" xfId="0" applyFont="1" applyFill="1" applyBorder="1" applyAlignment="1">
      <alignment vertical="center"/>
    </xf>
    <xf numFmtId="0" fontId="12" fillId="19" borderId="0" xfId="0" applyFont="1" applyFill="1" applyBorder="1" applyAlignment="1">
      <alignment horizontal="center"/>
    </xf>
    <xf numFmtId="0" fontId="61" fillId="19" borderId="53" xfId="0" applyFont="1" applyFill="1" applyBorder="1" applyAlignment="1">
      <alignment vertical="center"/>
    </xf>
    <xf numFmtId="0" fontId="21" fillId="19" borderId="53" xfId="0" applyFont="1" applyFill="1" applyBorder="1" applyAlignment="1">
      <alignment vertical="center"/>
    </xf>
    <xf numFmtId="0" fontId="65" fillId="3" borderId="0" xfId="0" applyFont="1" applyFill="1" applyBorder="1" applyAlignment="1">
      <alignment vertical="center"/>
    </xf>
    <xf numFmtId="0" fontId="12" fillId="3" borderId="0" xfId="0" applyFont="1" applyFill="1" applyAlignment="1">
      <alignment horizontal="center" vertical="center"/>
    </xf>
    <xf numFmtId="1" fontId="21" fillId="3" borderId="151" xfId="0" applyNumberFormat="1" applyFont="1" applyFill="1" applyBorder="1" applyAlignment="1" applyProtection="1">
      <alignment horizontal="center" vertical="center"/>
      <protection locked="0"/>
    </xf>
    <xf numFmtId="165" fontId="48" fillId="3" borderId="152" xfId="0" applyNumberFormat="1" applyFont="1" applyFill="1" applyBorder="1" applyAlignment="1" applyProtection="1">
      <alignment horizontal="center" vertical="center"/>
      <protection locked="0"/>
    </xf>
    <xf numFmtId="165" fontId="48" fillId="14" borderId="46" xfId="0" applyNumberFormat="1" applyFont="1" applyFill="1" applyBorder="1" applyAlignment="1" applyProtection="1">
      <alignment horizontal="center" vertical="center"/>
    </xf>
    <xf numFmtId="168" fontId="48" fillId="14" borderId="0" xfId="2" applyNumberFormat="1" applyFont="1" applyFill="1" applyBorder="1" applyAlignment="1" applyProtection="1">
      <alignment horizontal="center" vertical="center"/>
    </xf>
    <xf numFmtId="165" fontId="48" fillId="14" borderId="55" xfId="0" applyNumberFormat="1" applyFont="1" applyFill="1" applyBorder="1" applyAlignment="1" applyProtection="1">
      <alignment horizontal="center" vertical="center"/>
    </xf>
    <xf numFmtId="0" fontId="21" fillId="3" borderId="254" xfId="0" quotePrefix="1" applyFont="1" applyFill="1" applyBorder="1" applyAlignment="1">
      <alignment vertical="top"/>
    </xf>
    <xf numFmtId="0" fontId="0" fillId="3" borderId="0" xfId="0" applyFill="1"/>
    <xf numFmtId="0" fontId="41" fillId="0" borderId="0" xfId="9" applyFont="1" applyProtection="1"/>
    <xf numFmtId="0" fontId="21" fillId="3" borderId="0" xfId="0" quotePrefix="1" applyFont="1" applyFill="1" applyBorder="1" applyAlignment="1">
      <alignment horizontal="center" vertical="top"/>
    </xf>
    <xf numFmtId="0" fontId="65" fillId="0" borderId="0" xfId="0" applyFont="1" applyAlignment="1">
      <alignment horizontal="left"/>
    </xf>
    <xf numFmtId="0" fontId="21" fillId="3" borderId="37" xfId="0" quotePrefix="1" applyFont="1" applyFill="1" applyBorder="1" applyAlignment="1">
      <alignment horizontal="right" vertical="center"/>
    </xf>
    <xf numFmtId="0" fontId="21" fillId="3" borderId="254" xfId="0" quotePrefix="1" applyFont="1" applyFill="1" applyBorder="1" applyAlignment="1">
      <alignment horizontal="right" vertical="center"/>
    </xf>
    <xf numFmtId="0" fontId="21" fillId="3" borderId="252" xfId="0" quotePrefix="1" applyFont="1" applyFill="1" applyBorder="1" applyAlignment="1">
      <alignment horizontal="center" vertical="top"/>
    </xf>
    <xf numFmtId="0" fontId="21" fillId="3" borderId="253" xfId="0" quotePrefix="1" applyFont="1" applyFill="1" applyBorder="1" applyAlignment="1">
      <alignment horizontal="center" vertical="center"/>
    </xf>
    <xf numFmtId="0" fontId="21" fillId="3" borderId="254" xfId="0" quotePrefix="1" applyFont="1" applyFill="1" applyBorder="1" applyAlignment="1">
      <alignment horizontal="center" vertical="center"/>
    </xf>
    <xf numFmtId="0" fontId="21" fillId="3" borderId="22" xfId="0" applyFont="1" applyFill="1" applyBorder="1" applyAlignment="1">
      <alignment horizontal="center" vertical="center"/>
    </xf>
    <xf numFmtId="0" fontId="21" fillId="3" borderId="252" xfId="0" quotePrefix="1" applyFont="1" applyFill="1" applyBorder="1" applyAlignment="1">
      <alignment horizontal="center" vertical="center"/>
    </xf>
    <xf numFmtId="0" fontId="21" fillId="3" borderId="252" xfId="0" quotePrefix="1" applyFont="1" applyFill="1" applyBorder="1" applyAlignment="1">
      <alignment horizontal="left" vertical="top"/>
    </xf>
    <xf numFmtId="0" fontId="61" fillId="3" borderId="53" xfId="0" quotePrefix="1" applyFont="1" applyFill="1" applyBorder="1"/>
    <xf numFmtId="0" fontId="61" fillId="3" borderId="54" xfId="0" quotePrefix="1" applyFont="1" applyFill="1" applyBorder="1"/>
    <xf numFmtId="0" fontId="21" fillId="3" borderId="54" xfId="0" quotePrefix="1" applyFont="1" applyFill="1" applyBorder="1" applyAlignment="1">
      <alignment horizontal="center" vertical="center"/>
    </xf>
    <xf numFmtId="0" fontId="21" fillId="3" borderId="54" xfId="0" quotePrefix="1" applyFont="1" applyFill="1" applyBorder="1" applyAlignment="1">
      <alignment horizontal="center" vertical="top"/>
    </xf>
    <xf numFmtId="0" fontId="61" fillId="3" borderId="12" xfId="0" quotePrefix="1" applyFont="1" applyFill="1" applyBorder="1"/>
    <xf numFmtId="0" fontId="21" fillId="3" borderId="254" xfId="0" quotePrefix="1" applyFont="1" applyFill="1" applyBorder="1" applyAlignment="1">
      <alignment vertical="center"/>
    </xf>
    <xf numFmtId="0" fontId="107" fillId="19" borderId="0" xfId="0" applyFont="1" applyFill="1" applyBorder="1" applyAlignment="1">
      <alignment horizontal="left" vertical="center" wrapText="1"/>
    </xf>
    <xf numFmtId="0" fontId="107" fillId="19" borderId="12" xfId="0" applyFont="1" applyFill="1" applyBorder="1" applyAlignment="1">
      <alignment vertical="top" wrapText="1"/>
    </xf>
    <xf numFmtId="0" fontId="112" fillId="19" borderId="12" xfId="0" applyFont="1" applyFill="1" applyBorder="1" applyAlignment="1">
      <alignment vertical="center"/>
    </xf>
    <xf numFmtId="0" fontId="112" fillId="19" borderId="12" xfId="0" applyFont="1" applyFill="1" applyBorder="1" applyAlignment="1"/>
    <xf numFmtId="0" fontId="114" fillId="19" borderId="12" xfId="0" applyFont="1" applyFill="1" applyBorder="1" applyAlignment="1">
      <alignment horizontal="left"/>
    </xf>
    <xf numFmtId="165" fontId="21" fillId="0" borderId="0" xfId="0" applyNumberFormat="1" applyFont="1" applyAlignment="1">
      <alignment horizontal="center"/>
    </xf>
    <xf numFmtId="0" fontId="21" fillId="3" borderId="1" xfId="0" applyFont="1" applyFill="1" applyBorder="1" applyProtection="1"/>
    <xf numFmtId="0" fontId="102" fillId="3" borderId="0" xfId="0" applyFont="1" applyFill="1" applyBorder="1" applyAlignment="1" applyProtection="1"/>
    <xf numFmtId="0" fontId="102" fillId="3" borderId="0" xfId="0" applyFont="1" applyFill="1" applyBorder="1" applyAlignment="1" applyProtection="1">
      <alignment wrapText="1"/>
    </xf>
    <xf numFmtId="0" fontId="0" fillId="3" borderId="0" xfId="0" applyFill="1" applyAlignment="1">
      <alignment vertical="center"/>
    </xf>
    <xf numFmtId="0" fontId="21" fillId="0" borderId="0" xfId="0" applyFont="1" applyAlignment="1">
      <alignment horizontal="left" vertical="center"/>
    </xf>
    <xf numFmtId="0" fontId="61" fillId="0" borderId="0" xfId="0" applyFont="1" applyAlignment="1">
      <alignment horizontal="left" vertical="center"/>
    </xf>
    <xf numFmtId="0" fontId="61" fillId="0" borderId="0" xfId="0" applyFont="1" applyAlignment="1">
      <alignment vertical="center"/>
    </xf>
    <xf numFmtId="0" fontId="61" fillId="3" borderId="0" xfId="0" applyFont="1" applyFill="1" applyAlignment="1">
      <alignment vertical="center"/>
    </xf>
    <xf numFmtId="0" fontId="61" fillId="3" borderId="252" xfId="0" quotePrefix="1" applyFont="1" applyFill="1" applyBorder="1" applyAlignment="1">
      <alignment vertical="center"/>
    </xf>
    <xf numFmtId="0" fontId="61" fillId="3" borderId="253" xfId="0" quotePrefix="1" applyFont="1" applyFill="1" applyBorder="1" applyAlignment="1">
      <alignment vertical="center"/>
    </xf>
    <xf numFmtId="0" fontId="61" fillId="3" borderId="254" xfId="0" quotePrefix="1" applyFont="1" applyFill="1" applyBorder="1" applyAlignment="1">
      <alignment vertical="center"/>
    </xf>
    <xf numFmtId="0" fontId="107" fillId="19" borderId="12" xfId="0" applyFont="1" applyFill="1" applyBorder="1"/>
    <xf numFmtId="0" fontId="112" fillId="19" borderId="12" xfId="0" applyFont="1" applyFill="1" applyBorder="1" applyAlignment="1">
      <alignment horizontal="left"/>
    </xf>
    <xf numFmtId="0" fontId="107" fillId="19" borderId="12" xfId="0" applyFont="1" applyFill="1" applyBorder="1" applyAlignment="1">
      <alignment horizontal="left" vertical="top"/>
    </xf>
    <xf numFmtId="0" fontId="21" fillId="3" borderId="254" xfId="0" applyFont="1" applyFill="1" applyBorder="1" applyAlignment="1">
      <alignment vertical="center"/>
    </xf>
    <xf numFmtId="0" fontId="61" fillId="3" borderId="0" xfId="0" applyFont="1" applyFill="1" applyAlignment="1" applyProtection="1"/>
    <xf numFmtId="0" fontId="57" fillId="13" borderId="45" xfId="19" applyFont="1" applyFill="1" applyBorder="1" applyAlignment="1" applyProtection="1">
      <alignment horizontal="center" vertical="top" wrapText="1"/>
      <protection locked="0"/>
    </xf>
    <xf numFmtId="0" fontId="57" fillId="13" borderId="0" xfId="19" applyFont="1" applyFill="1" applyBorder="1" applyAlignment="1" applyProtection="1">
      <alignment horizontal="center" vertical="top" wrapText="1"/>
      <protection locked="0"/>
    </xf>
    <xf numFmtId="0" fontId="116" fillId="0" borderId="0" xfId="19" applyFont="1" applyFill="1" applyBorder="1" applyAlignment="1" applyProtection="1">
      <alignment vertical="center"/>
      <protection locked="0"/>
    </xf>
    <xf numFmtId="0" fontId="16" fillId="5" borderId="1" xfId="0" applyFont="1" applyFill="1" applyBorder="1" applyAlignment="1" applyProtection="1"/>
    <xf numFmtId="0" fontId="117" fillId="3" borderId="39" xfId="19" applyFont="1" applyFill="1" applyBorder="1" applyAlignment="1" applyProtection="1">
      <alignment vertical="center"/>
    </xf>
    <xf numFmtId="0" fontId="118" fillId="3" borderId="39" xfId="19" applyFont="1" applyFill="1" applyBorder="1" applyAlignment="1" applyProtection="1">
      <alignment horizontal="center" vertical="center"/>
    </xf>
    <xf numFmtId="0" fontId="118" fillId="3" borderId="39" xfId="19" applyFont="1" applyFill="1" applyBorder="1" applyAlignment="1" applyProtection="1">
      <alignment vertical="center"/>
    </xf>
    <xf numFmtId="0" fontId="118" fillId="3" borderId="40" xfId="19" applyFont="1" applyFill="1" applyBorder="1" applyAlignment="1" applyProtection="1">
      <alignment vertical="center"/>
    </xf>
    <xf numFmtId="0" fontId="119" fillId="3" borderId="0" xfId="0" applyFont="1" applyFill="1" applyBorder="1" applyProtection="1"/>
    <xf numFmtId="0" fontId="119" fillId="8" borderId="0" xfId="19" applyFont="1" applyFill="1" applyBorder="1" applyAlignment="1" applyProtection="1">
      <alignment vertical="top" wrapText="1"/>
    </xf>
    <xf numFmtId="0" fontId="16" fillId="3" borderId="0" xfId="0" applyFont="1" applyFill="1" applyBorder="1" applyAlignment="1" applyProtection="1">
      <alignment vertical="center"/>
    </xf>
    <xf numFmtId="0" fontId="119" fillId="3" borderId="0" xfId="0" applyFont="1" applyFill="1" applyBorder="1" applyAlignment="1" applyProtection="1"/>
    <xf numFmtId="170" fontId="120" fillId="17" borderId="36" xfId="0" applyNumberFormat="1" applyFont="1" applyFill="1" applyBorder="1" applyAlignment="1" applyProtection="1">
      <alignment horizontal="center" vertical="center"/>
    </xf>
    <xf numFmtId="165" fontId="16" fillId="0" borderId="0" xfId="0" applyNumberFormat="1" applyFont="1" applyAlignment="1">
      <alignment horizontal="center"/>
    </xf>
    <xf numFmtId="0" fontId="121" fillId="3" borderId="0" xfId="0" applyFont="1" applyFill="1" applyBorder="1" applyAlignment="1" applyProtection="1">
      <alignment horizontal="center" vertical="center"/>
    </xf>
    <xf numFmtId="0" fontId="16" fillId="3" borderId="0" xfId="1" applyNumberFormat="1" applyFont="1" applyFill="1" applyBorder="1" applyAlignment="1" applyProtection="1">
      <alignment vertical="center"/>
    </xf>
    <xf numFmtId="0" fontId="16" fillId="0" borderId="0" xfId="0" applyFont="1" applyFill="1" applyBorder="1" applyAlignment="1" applyProtection="1">
      <alignment horizontal="center"/>
    </xf>
    <xf numFmtId="0" fontId="87" fillId="3" borderId="33" xfId="0" applyFont="1" applyFill="1" applyBorder="1" applyAlignment="1" applyProtection="1">
      <alignment horizontal="center" vertical="center"/>
    </xf>
    <xf numFmtId="0" fontId="87" fillId="3" borderId="23" xfId="0" applyFont="1" applyFill="1" applyBorder="1" applyAlignment="1" applyProtection="1">
      <alignment horizontal="center" vertical="center"/>
    </xf>
    <xf numFmtId="165" fontId="16" fillId="0" borderId="0" xfId="1" applyNumberFormat="1" applyFont="1" applyFill="1" applyBorder="1" applyAlignment="1" applyProtection="1">
      <alignment horizontal="center" vertical="center"/>
    </xf>
    <xf numFmtId="0" fontId="120" fillId="3" borderId="0" xfId="0" applyFont="1" applyFill="1" applyBorder="1" applyAlignment="1" applyProtection="1">
      <alignment wrapText="1"/>
    </xf>
    <xf numFmtId="165" fontId="122" fillId="3" borderId="228" xfId="0" applyNumberFormat="1" applyFont="1" applyFill="1" applyBorder="1" applyAlignment="1" applyProtection="1">
      <alignment horizontal="center" vertical="center"/>
    </xf>
    <xf numFmtId="43" fontId="122" fillId="3" borderId="0" xfId="22" applyFont="1" applyFill="1" applyBorder="1" applyAlignment="1" applyProtection="1">
      <alignment vertical="center"/>
    </xf>
    <xf numFmtId="165" fontId="16" fillId="0" borderId="0" xfId="0" applyNumberFormat="1" applyFont="1" applyProtection="1"/>
    <xf numFmtId="165" fontId="87" fillId="0" borderId="1" xfId="0" applyNumberFormat="1" applyFont="1" applyBorder="1" applyProtection="1"/>
    <xf numFmtId="1" fontId="16" fillId="0" borderId="0" xfId="0" applyNumberFormat="1" applyFont="1" applyProtection="1"/>
    <xf numFmtId="0" fontId="119" fillId="3" borderId="38" xfId="0" applyFont="1" applyFill="1" applyBorder="1" applyAlignment="1" applyProtection="1">
      <alignment vertical="center"/>
    </xf>
    <xf numFmtId="0" fontId="119" fillId="3" borderId="39" xfId="0" applyFont="1" applyFill="1" applyBorder="1" applyAlignment="1" applyProtection="1">
      <alignment vertical="center"/>
    </xf>
    <xf numFmtId="169" fontId="120" fillId="7" borderId="155" xfId="0" applyNumberFormat="1" applyFont="1" applyFill="1" applyBorder="1" applyAlignment="1" applyProtection="1">
      <alignment horizontal="center" vertical="center"/>
    </xf>
    <xf numFmtId="170" fontId="120" fillId="7" borderId="155" xfId="1" applyNumberFormat="1" applyFont="1" applyFill="1" applyBorder="1" applyAlignment="1" applyProtection="1">
      <alignment horizontal="center" vertical="center"/>
    </xf>
    <xf numFmtId="170" fontId="120" fillId="7" borderId="155" xfId="0" applyNumberFormat="1" applyFont="1" applyFill="1" applyBorder="1" applyAlignment="1" applyProtection="1">
      <alignment horizontal="center" vertical="center"/>
    </xf>
    <xf numFmtId="170" fontId="120" fillId="7" borderId="158" xfId="0" applyNumberFormat="1" applyFont="1" applyFill="1" applyBorder="1" applyAlignment="1" applyProtection="1">
      <alignment horizontal="center" vertical="center"/>
    </xf>
    <xf numFmtId="170" fontId="120" fillId="7" borderId="158" xfId="0" applyNumberFormat="1" applyFont="1" applyFill="1" applyBorder="1" applyAlignment="1" applyProtection="1">
      <alignment vertical="center"/>
    </xf>
    <xf numFmtId="170" fontId="120" fillId="7" borderId="156" xfId="0" applyNumberFormat="1" applyFont="1" applyFill="1" applyBorder="1" applyAlignment="1" applyProtection="1">
      <alignment horizontal="center" vertical="center"/>
    </xf>
    <xf numFmtId="170" fontId="120" fillId="7" borderId="156" xfId="0" applyNumberFormat="1" applyFont="1" applyFill="1" applyBorder="1" applyAlignment="1" applyProtection="1">
      <alignment vertical="center"/>
    </xf>
    <xf numFmtId="9" fontId="120" fillId="7" borderId="6" xfId="0" applyNumberFormat="1" applyFont="1" applyFill="1" applyBorder="1" applyAlignment="1" applyProtection="1">
      <alignment vertical="center"/>
    </xf>
    <xf numFmtId="165" fontId="84" fillId="11" borderId="27" xfId="1" applyNumberFormat="1" applyFont="1" applyFill="1" applyBorder="1" applyAlignment="1" applyProtection="1">
      <alignment horizontal="center" vertical="center"/>
    </xf>
    <xf numFmtId="165" fontId="84" fillId="11" borderId="17" xfId="1" applyNumberFormat="1" applyFont="1" applyFill="1" applyBorder="1" applyAlignment="1" applyProtection="1">
      <alignment horizontal="center" vertical="center"/>
    </xf>
    <xf numFmtId="9" fontId="120" fillId="7" borderId="6" xfId="0" quotePrefix="1" applyNumberFormat="1" applyFont="1" applyFill="1" applyBorder="1" applyAlignment="1" applyProtection="1">
      <alignment vertical="center"/>
    </xf>
    <xf numFmtId="165" fontId="84" fillId="11" borderId="18" xfId="1" applyNumberFormat="1" applyFont="1" applyFill="1" applyBorder="1" applyAlignment="1" applyProtection="1">
      <alignment horizontal="center" vertical="center"/>
    </xf>
    <xf numFmtId="165" fontId="84" fillId="11" borderId="19" xfId="1" applyNumberFormat="1" applyFont="1" applyFill="1" applyBorder="1" applyAlignment="1" applyProtection="1">
      <alignment horizontal="center" vertical="center"/>
    </xf>
    <xf numFmtId="0" fontId="87" fillId="3" borderId="0" xfId="0" applyFont="1" applyFill="1" applyBorder="1" applyAlignment="1" applyProtection="1"/>
    <xf numFmtId="0" fontId="62" fillId="0" borderId="0" xfId="0" applyFont="1" applyFill="1" applyBorder="1" applyAlignment="1" applyProtection="1">
      <alignment vertical="center"/>
    </xf>
    <xf numFmtId="0" fontId="77" fillId="3" borderId="0" xfId="0" applyFont="1" applyFill="1" applyBorder="1" applyAlignment="1" applyProtection="1"/>
    <xf numFmtId="0" fontId="62" fillId="0" borderId="0" xfId="0" applyFont="1" applyFill="1" applyBorder="1" applyAlignment="1" applyProtection="1"/>
    <xf numFmtId="0" fontId="21" fillId="3" borderId="0" xfId="0" applyFont="1" applyFill="1" applyProtection="1"/>
    <xf numFmtId="0" fontId="21" fillId="0" borderId="0" xfId="0" applyFont="1" applyProtection="1"/>
    <xf numFmtId="0" fontId="16" fillId="3" borderId="1" xfId="0" applyFont="1" applyFill="1" applyBorder="1" applyAlignment="1" applyProtection="1">
      <alignment horizontal="center"/>
    </xf>
    <xf numFmtId="0" fontId="58" fillId="3" borderId="110" xfId="9" applyFont="1" applyFill="1" applyBorder="1" applyAlignment="1" applyProtection="1">
      <alignment vertical="top" wrapText="1"/>
    </xf>
    <xf numFmtId="0" fontId="58" fillId="3" borderId="115" xfId="9" applyFont="1" applyFill="1" applyBorder="1" applyAlignment="1" applyProtection="1">
      <alignment vertical="top" wrapText="1"/>
    </xf>
    <xf numFmtId="0" fontId="58" fillId="3" borderId="16" xfId="9" applyFont="1" applyFill="1" applyBorder="1" applyAlignment="1" applyProtection="1">
      <alignment vertical="top" wrapText="1"/>
    </xf>
    <xf numFmtId="0" fontId="58" fillId="3" borderId="111" xfId="9" applyFont="1" applyFill="1" applyBorder="1" applyAlignment="1" applyProtection="1">
      <alignment vertical="top" wrapText="1"/>
    </xf>
    <xf numFmtId="0" fontId="58" fillId="3" borderId="86" xfId="9" applyFont="1" applyFill="1" applyBorder="1" applyAlignment="1" applyProtection="1">
      <alignment vertical="top" wrapText="1"/>
    </xf>
    <xf numFmtId="0" fontId="69" fillId="3" borderId="0" xfId="9" applyFont="1" applyFill="1" applyBorder="1" applyAlignment="1" applyProtection="1">
      <alignment horizontal="right" vertical="center" wrapText="1"/>
    </xf>
    <xf numFmtId="165" fontId="20" fillId="21" borderId="93" xfId="1" applyNumberFormat="1" applyFont="1" applyFill="1" applyBorder="1" applyAlignment="1" applyProtection="1">
      <alignment horizontal="center" vertical="center"/>
    </xf>
    <xf numFmtId="165" fontId="58" fillId="21" borderId="66" xfId="9" applyNumberFormat="1" applyFont="1" applyFill="1" applyBorder="1" applyAlignment="1" applyProtection="1">
      <alignment horizontal="center" vertical="center" wrapText="1"/>
    </xf>
    <xf numFmtId="165" fontId="69" fillId="21" borderId="66" xfId="9" applyNumberFormat="1" applyFont="1" applyFill="1" applyBorder="1" applyAlignment="1" applyProtection="1">
      <alignment horizontal="center" vertical="center"/>
    </xf>
    <xf numFmtId="167" fontId="58" fillId="5" borderId="66" xfId="2" applyNumberFormat="1" applyFont="1" applyFill="1" applyBorder="1" applyAlignment="1" applyProtection="1">
      <alignment horizontal="center" vertical="center"/>
    </xf>
    <xf numFmtId="0" fontId="69" fillId="21" borderId="66" xfId="9" applyFont="1" applyFill="1" applyBorder="1" applyAlignment="1" applyProtection="1">
      <alignment horizontal="center" vertical="center"/>
    </xf>
    <xf numFmtId="165" fontId="58" fillId="5" borderId="66" xfId="9" applyNumberFormat="1" applyFont="1" applyFill="1" applyBorder="1" applyAlignment="1" applyProtection="1">
      <alignment horizontal="center" vertical="center"/>
    </xf>
    <xf numFmtId="171" fontId="58" fillId="5" borderId="66" xfId="9" applyNumberFormat="1" applyFont="1" applyFill="1" applyBorder="1" applyAlignment="1" applyProtection="1">
      <alignment horizontal="center" vertical="center"/>
    </xf>
    <xf numFmtId="165" fontId="69" fillId="21" borderId="66" xfId="9" applyNumberFormat="1" applyFont="1" applyFill="1" applyBorder="1" applyAlignment="1" applyProtection="1">
      <alignment horizontal="center" vertical="center" wrapText="1"/>
    </xf>
    <xf numFmtId="167" fontId="58" fillId="5" borderId="66" xfId="2" applyNumberFormat="1" applyFont="1" applyFill="1" applyBorder="1" applyAlignment="1" applyProtection="1">
      <alignment horizontal="center" vertical="center" wrapText="1"/>
    </xf>
    <xf numFmtId="0" fontId="57" fillId="14" borderId="264" xfId="9" applyFont="1" applyFill="1" applyBorder="1" applyAlignment="1" applyProtection="1">
      <alignment horizontal="center" vertical="center" wrapText="1"/>
      <protection locked="0"/>
    </xf>
    <xf numFmtId="0" fontId="21" fillId="0" borderId="1" xfId="0" applyFont="1" applyBorder="1" applyProtection="1"/>
    <xf numFmtId="165" fontId="20" fillId="20" borderId="89" xfId="1" applyNumberFormat="1" applyFont="1" applyFill="1" applyBorder="1" applyAlignment="1" applyProtection="1">
      <alignment horizontal="center" vertical="center"/>
    </xf>
    <xf numFmtId="165" fontId="20" fillId="20" borderId="90" xfId="1" applyNumberFormat="1" applyFont="1" applyFill="1" applyBorder="1" applyAlignment="1" applyProtection="1">
      <alignment horizontal="center" vertical="center"/>
    </xf>
    <xf numFmtId="165" fontId="20" fillId="20" borderId="210" xfId="1" applyNumberFormat="1" applyFont="1" applyFill="1" applyBorder="1" applyAlignment="1" applyProtection="1">
      <alignment horizontal="center" vertical="center"/>
    </xf>
    <xf numFmtId="165" fontId="20" fillId="20" borderId="209" xfId="1" applyNumberFormat="1" applyFont="1" applyFill="1" applyBorder="1" applyAlignment="1" applyProtection="1">
      <alignment horizontal="center" vertical="center"/>
    </xf>
    <xf numFmtId="165" fontId="20" fillId="20" borderId="206" xfId="1" applyNumberFormat="1" applyFont="1" applyFill="1" applyBorder="1" applyAlignment="1" applyProtection="1">
      <alignment horizontal="center" vertical="center"/>
    </xf>
    <xf numFmtId="165" fontId="20" fillId="20" borderId="208" xfId="1" applyNumberFormat="1" applyFont="1" applyFill="1" applyBorder="1" applyAlignment="1" applyProtection="1">
      <alignment horizontal="center" vertical="center"/>
    </xf>
    <xf numFmtId="165" fontId="20" fillId="20" borderId="91" xfId="1" applyNumberFormat="1" applyFont="1" applyFill="1" applyBorder="1" applyAlignment="1" applyProtection="1">
      <alignment horizontal="center" vertical="center"/>
    </xf>
    <xf numFmtId="168" fontId="58" fillId="22" borderId="19" xfId="2" applyNumberFormat="1" applyFont="1" applyFill="1" applyBorder="1" applyAlignment="1" applyProtection="1">
      <alignment horizontal="center" vertical="center"/>
    </xf>
    <xf numFmtId="165" fontId="16" fillId="0" borderId="0" xfId="0" applyNumberFormat="1" applyFont="1" applyAlignment="1" applyProtection="1">
      <alignment vertical="center"/>
    </xf>
    <xf numFmtId="0" fontId="16" fillId="5" borderId="1" xfId="0" applyFont="1" applyFill="1" applyBorder="1" applyAlignment="1" applyProtection="1">
      <alignment horizontal="left" vertical="center" wrapText="1"/>
    </xf>
    <xf numFmtId="0" fontId="16" fillId="0" borderId="0" xfId="0" quotePrefix="1" applyFont="1" applyAlignment="1" applyProtection="1">
      <alignment vertical="center"/>
    </xf>
    <xf numFmtId="0" fontId="0" fillId="0" borderId="0" xfId="0" applyAlignment="1" applyProtection="1">
      <alignment horizontal="left" vertical="center"/>
    </xf>
    <xf numFmtId="165" fontId="20" fillId="22" borderId="41" xfId="0" applyNumberFormat="1" applyFont="1" applyFill="1" applyBorder="1" applyAlignment="1" applyProtection="1">
      <alignment horizontal="center" vertical="center"/>
    </xf>
    <xf numFmtId="165" fontId="20" fillId="22" borderId="89" xfId="1" applyNumberFormat="1" applyFont="1" applyFill="1" applyBorder="1" applyAlignment="1" applyProtection="1">
      <alignment horizontal="center" vertical="center"/>
    </xf>
    <xf numFmtId="165" fontId="20" fillId="22" borderId="90" xfId="1" applyNumberFormat="1" applyFont="1" applyFill="1" applyBorder="1" applyAlignment="1" applyProtection="1">
      <alignment horizontal="center" vertical="center"/>
    </xf>
    <xf numFmtId="165" fontId="20" fillId="22" borderId="91" xfId="1" applyNumberFormat="1" applyFont="1" applyFill="1" applyBorder="1" applyAlignment="1" applyProtection="1">
      <alignment horizontal="center" vertical="center"/>
    </xf>
    <xf numFmtId="10" fontId="20" fillId="22" borderId="89" xfId="2" applyNumberFormat="1" applyFont="1" applyFill="1" applyBorder="1" applyAlignment="1" applyProtection="1">
      <alignment horizontal="center" vertical="center"/>
    </xf>
    <xf numFmtId="10" fontId="20" fillId="22" borderId="90" xfId="0" applyNumberFormat="1" applyFont="1" applyFill="1" applyBorder="1" applyAlignment="1" applyProtection="1">
      <alignment horizontal="center" vertical="center"/>
    </xf>
    <xf numFmtId="10" fontId="20" fillId="22" borderId="91" xfId="0" applyNumberFormat="1" applyFont="1" applyFill="1" applyBorder="1" applyAlignment="1" applyProtection="1">
      <alignment horizontal="center" vertical="center"/>
    </xf>
    <xf numFmtId="5" fontId="20" fillId="22" borderId="159" xfId="0" applyNumberFormat="1" applyFont="1" applyFill="1" applyBorder="1" applyAlignment="1" applyProtection="1">
      <alignment horizontal="center" vertical="center"/>
    </xf>
    <xf numFmtId="165" fontId="57" fillId="22" borderId="38" xfId="0" applyNumberFormat="1" applyFont="1" applyFill="1" applyBorder="1" applyAlignment="1" applyProtection="1">
      <alignment horizontal="center" vertical="center"/>
    </xf>
    <xf numFmtId="165" fontId="57" fillId="22" borderId="39" xfId="0" applyNumberFormat="1" applyFont="1" applyFill="1" applyBorder="1" applyAlignment="1" applyProtection="1">
      <alignment horizontal="center" vertical="center"/>
    </xf>
    <xf numFmtId="3" fontId="21" fillId="0" borderId="66" xfId="0" applyNumberFormat="1" applyFont="1" applyBorder="1" applyAlignment="1" applyProtection="1">
      <alignment horizontal="center" vertical="center"/>
      <protection locked="0"/>
    </xf>
    <xf numFmtId="3" fontId="21" fillId="0" borderId="66" xfId="0" applyNumberFormat="1" applyFont="1" applyFill="1" applyBorder="1" applyAlignment="1" applyProtection="1">
      <alignment horizontal="center" vertical="center"/>
      <protection locked="0"/>
    </xf>
    <xf numFmtId="0" fontId="21" fillId="3" borderId="66" xfId="0" applyFont="1" applyFill="1" applyBorder="1" applyAlignment="1" applyProtection="1">
      <alignment vertical="center"/>
      <protection locked="0"/>
    </xf>
    <xf numFmtId="0" fontId="58" fillId="3" borderId="204" xfId="0" applyFont="1" applyFill="1" applyBorder="1" applyAlignment="1" applyProtection="1">
      <alignment horizontal="center" vertical="center"/>
      <protection locked="0"/>
    </xf>
    <xf numFmtId="9" fontId="34" fillId="17" borderId="38" xfId="0" applyNumberFormat="1" applyFont="1" applyFill="1" applyBorder="1" applyAlignment="1" applyProtection="1">
      <alignment horizontal="right" vertical="center"/>
    </xf>
    <xf numFmtId="9" fontId="34" fillId="17" borderId="51" xfId="0" quotePrefix="1" applyNumberFormat="1" applyFont="1" applyFill="1" applyBorder="1" applyAlignment="1" applyProtection="1">
      <alignment horizontal="right" vertical="center"/>
    </xf>
    <xf numFmtId="9" fontId="34" fillId="17" borderId="39" xfId="0" applyNumberFormat="1" applyFont="1" applyFill="1" applyBorder="1" applyAlignment="1" applyProtection="1">
      <alignment horizontal="right" vertical="center"/>
    </xf>
    <xf numFmtId="169" fontId="34" fillId="17" borderId="37" xfId="0" applyNumberFormat="1" applyFont="1" applyFill="1" applyBorder="1" applyAlignment="1" applyProtection="1">
      <alignment horizontal="center" vertical="center"/>
    </xf>
    <xf numFmtId="170" fontId="34" fillId="17" borderId="43" xfId="1" applyNumberFormat="1" applyFont="1" applyFill="1" applyBorder="1" applyAlignment="1" applyProtection="1">
      <alignment horizontal="center" vertical="center"/>
    </xf>
    <xf numFmtId="170" fontId="34" fillId="17" borderId="43" xfId="0" applyNumberFormat="1" applyFont="1" applyFill="1" applyBorder="1" applyAlignment="1" applyProtection="1">
      <alignment horizontal="center" vertical="center"/>
    </xf>
    <xf numFmtId="170" fontId="34" fillId="17" borderId="42" xfId="0" applyNumberFormat="1" applyFont="1" applyFill="1" applyBorder="1" applyAlignment="1" applyProtection="1">
      <alignment horizontal="center" vertical="center"/>
    </xf>
    <xf numFmtId="165" fontId="21" fillId="23" borderId="19" xfId="1" applyNumberFormat="1" applyFont="1" applyFill="1" applyBorder="1" applyAlignment="1" applyProtection="1">
      <alignment horizontal="center" vertical="center"/>
    </xf>
    <xf numFmtId="165" fontId="69" fillId="23" borderId="49" xfId="0" applyNumberFormat="1" applyFont="1" applyFill="1" applyBorder="1" applyAlignment="1" applyProtection="1">
      <alignment horizontal="center" vertical="center"/>
    </xf>
    <xf numFmtId="168" fontId="58" fillId="23" borderId="49" xfId="2" applyNumberFormat="1" applyFont="1" applyFill="1" applyBorder="1" applyAlignment="1" applyProtection="1">
      <alignment horizontal="center" vertical="center"/>
    </xf>
    <xf numFmtId="165" fontId="69" fillId="23" borderId="50" xfId="0" applyNumberFormat="1" applyFont="1" applyFill="1" applyBorder="1" applyAlignment="1" applyProtection="1">
      <alignment horizontal="center" vertical="center"/>
    </xf>
    <xf numFmtId="168" fontId="58" fillId="23" borderId="50" xfId="2" applyNumberFormat="1" applyFont="1" applyFill="1" applyBorder="1" applyAlignment="1" applyProtection="1">
      <alignment horizontal="center" vertical="center"/>
    </xf>
    <xf numFmtId="165" fontId="69" fillId="23" borderId="224" xfId="0" applyNumberFormat="1" applyFont="1" applyFill="1" applyBorder="1" applyAlignment="1" applyProtection="1">
      <alignment horizontal="center" vertical="center"/>
    </xf>
    <xf numFmtId="168" fontId="58" fillId="23" borderId="224" xfId="2" applyNumberFormat="1" applyFont="1" applyFill="1" applyBorder="1" applyAlignment="1" applyProtection="1">
      <alignment horizontal="center" vertical="center"/>
    </xf>
    <xf numFmtId="165" fontId="21" fillId="23" borderId="49" xfId="0" applyNumberFormat="1" applyFont="1" applyFill="1" applyBorder="1" applyAlignment="1" applyProtection="1">
      <alignment horizontal="center" vertical="center"/>
    </xf>
    <xf numFmtId="165" fontId="21" fillId="23" borderId="50" xfId="0" applyNumberFormat="1" applyFont="1" applyFill="1" applyBorder="1" applyAlignment="1" applyProtection="1">
      <alignment horizontal="center" vertical="center"/>
    </xf>
    <xf numFmtId="165" fontId="21" fillId="23" borderId="220" xfId="0" applyNumberFormat="1" applyFont="1" applyFill="1" applyBorder="1" applyAlignment="1" applyProtection="1">
      <alignment horizontal="center" vertical="center"/>
    </xf>
    <xf numFmtId="165" fontId="21" fillId="23" borderId="56" xfId="0" applyNumberFormat="1" applyFont="1" applyFill="1" applyBorder="1" applyAlignment="1" applyProtection="1">
      <alignment horizontal="center" vertical="center"/>
    </xf>
    <xf numFmtId="0" fontId="34" fillId="17" borderId="38" xfId="0" applyFont="1" applyFill="1" applyBorder="1" applyAlignment="1" applyProtection="1">
      <alignment vertical="center"/>
    </xf>
    <xf numFmtId="0" fontId="34" fillId="17" borderId="51" xfId="0" applyFont="1" applyFill="1" applyBorder="1" applyAlignment="1" applyProtection="1">
      <alignment vertical="center"/>
    </xf>
    <xf numFmtId="0" fontId="34" fillId="17" borderId="39" xfId="0" applyFont="1" applyFill="1" applyBorder="1" applyAlignment="1" applyProtection="1">
      <alignment vertical="center"/>
    </xf>
    <xf numFmtId="0" fontId="69" fillId="23" borderId="19" xfId="0" applyFont="1" applyFill="1" applyBorder="1" applyAlignment="1" applyProtection="1">
      <alignment horizontal="center" vertical="center"/>
    </xf>
    <xf numFmtId="0" fontId="58" fillId="18" borderId="19" xfId="0" applyFont="1" applyFill="1" applyBorder="1" applyAlignment="1" applyProtection="1">
      <alignment horizontal="center" vertical="center"/>
    </xf>
    <xf numFmtId="0" fontId="58" fillId="22" borderId="19" xfId="0" applyFont="1" applyFill="1" applyBorder="1" applyAlignment="1" applyProtection="1">
      <alignment horizontal="center" vertical="center"/>
    </xf>
    <xf numFmtId="165" fontId="58" fillId="22" borderId="19" xfId="0" applyNumberFormat="1" applyFont="1" applyFill="1" applyBorder="1" applyAlignment="1" applyProtection="1">
      <alignment horizontal="center" vertical="center"/>
    </xf>
    <xf numFmtId="1" fontId="58" fillId="22" borderId="19" xfId="2" applyNumberFormat="1" applyFont="1" applyFill="1" applyBorder="1" applyAlignment="1" applyProtection="1">
      <alignment horizontal="center" vertical="center"/>
    </xf>
    <xf numFmtId="165" fontId="69" fillId="23" borderId="19" xfId="1" applyNumberFormat="1" applyFont="1" applyFill="1" applyBorder="1" applyAlignment="1" applyProtection="1">
      <alignment horizontal="center" vertical="center"/>
    </xf>
    <xf numFmtId="165" fontId="48" fillId="23" borderId="50" xfId="0" applyNumberFormat="1" applyFont="1" applyFill="1" applyBorder="1" applyAlignment="1" applyProtection="1">
      <alignment horizontal="center" vertical="center"/>
    </xf>
    <xf numFmtId="168" fontId="48" fillId="23" borderId="50" xfId="0" applyNumberFormat="1" applyFont="1" applyFill="1" applyBorder="1" applyAlignment="1" applyProtection="1">
      <alignment horizontal="center" vertical="center"/>
    </xf>
    <xf numFmtId="165" fontId="48" fillId="23" borderId="56" xfId="0" applyNumberFormat="1" applyFont="1" applyFill="1" applyBorder="1" applyAlignment="1" applyProtection="1">
      <alignment horizontal="center" vertical="center"/>
    </xf>
    <xf numFmtId="168" fontId="48" fillId="23" borderId="56" xfId="0" applyNumberFormat="1" applyFont="1" applyFill="1" applyBorder="1" applyAlignment="1" applyProtection="1">
      <alignment horizontal="center" vertical="center"/>
    </xf>
    <xf numFmtId="165" fontId="21" fillId="23" borderId="41" xfId="0" applyNumberFormat="1" applyFont="1" applyFill="1" applyBorder="1" applyAlignment="1" applyProtection="1">
      <alignment horizontal="center" vertical="center"/>
    </xf>
    <xf numFmtId="168" fontId="21" fillId="23" borderId="41" xfId="0" applyNumberFormat="1" applyFont="1" applyFill="1" applyBorder="1" applyAlignment="1" applyProtection="1">
      <alignment horizontal="center" vertical="center"/>
    </xf>
    <xf numFmtId="165" fontId="48" fillId="23" borderId="41" xfId="0" applyNumberFormat="1" applyFont="1" applyFill="1" applyBorder="1" applyAlignment="1" applyProtection="1">
      <alignment horizontal="center" vertical="center"/>
    </xf>
    <xf numFmtId="168" fontId="48" fillId="23" borderId="41" xfId="2" applyNumberFormat="1" applyFont="1" applyFill="1" applyBorder="1" applyAlignment="1" applyProtection="1">
      <alignment horizontal="center" vertical="center"/>
    </xf>
    <xf numFmtId="168" fontId="48" fillId="23" borderId="50" xfId="2" applyNumberFormat="1" applyFont="1" applyFill="1" applyBorder="1" applyAlignment="1" applyProtection="1">
      <alignment horizontal="center" vertical="center"/>
    </xf>
    <xf numFmtId="168" fontId="48" fillId="23" borderId="56" xfId="2" applyNumberFormat="1" applyFont="1" applyFill="1" applyBorder="1" applyAlignment="1" applyProtection="1">
      <alignment horizontal="center" vertical="center"/>
    </xf>
    <xf numFmtId="0" fontId="58" fillId="4" borderId="19" xfId="0" applyFont="1" applyFill="1" applyBorder="1" applyAlignment="1" applyProtection="1">
      <alignment horizontal="center" vertical="center"/>
    </xf>
    <xf numFmtId="0" fontId="58" fillId="4" borderId="19" xfId="0" applyFont="1" applyFill="1" applyBorder="1" applyAlignment="1" applyProtection="1">
      <alignment horizontal="center"/>
    </xf>
    <xf numFmtId="0" fontId="58" fillId="23" borderId="19" xfId="0" applyFont="1" applyFill="1" applyBorder="1" applyAlignment="1" applyProtection="1">
      <alignment horizontal="center" vertical="center"/>
    </xf>
    <xf numFmtId="165" fontId="21" fillId="23" borderId="195" xfId="1" applyNumberFormat="1" applyFont="1" applyFill="1" applyBorder="1" applyAlignment="1" applyProtection="1">
      <alignment horizontal="center" vertical="center"/>
    </xf>
    <xf numFmtId="165" fontId="21" fillId="23" borderId="135" xfId="1" applyNumberFormat="1" applyFont="1" applyFill="1" applyBorder="1" applyAlignment="1" applyProtection="1">
      <alignment horizontal="center" vertical="center"/>
    </xf>
    <xf numFmtId="165" fontId="21" fillId="23" borderId="196" xfId="1" applyNumberFormat="1" applyFont="1" applyFill="1" applyBorder="1" applyAlignment="1" applyProtection="1">
      <alignment horizontal="center" vertical="center"/>
    </xf>
    <xf numFmtId="165" fontId="21" fillId="23" borderId="97" xfId="1" applyNumberFormat="1" applyFont="1" applyFill="1" applyBorder="1" applyAlignment="1" applyProtection="1">
      <alignment horizontal="center" vertical="center"/>
    </xf>
    <xf numFmtId="165" fontId="21" fillId="23" borderId="161" xfId="1" applyNumberFormat="1" applyFont="1" applyFill="1" applyBorder="1" applyAlignment="1" applyProtection="1">
      <alignment horizontal="center" vertical="center"/>
    </xf>
    <xf numFmtId="165" fontId="21" fillId="23" borderId="96" xfId="1" applyNumberFormat="1" applyFont="1" applyFill="1" applyBorder="1" applyAlignment="1" applyProtection="1">
      <alignment horizontal="center" vertical="center"/>
    </xf>
    <xf numFmtId="165" fontId="21" fillId="23" borderId="134" xfId="1" applyNumberFormat="1" applyFont="1" applyFill="1" applyBorder="1" applyAlignment="1" applyProtection="1">
      <alignment horizontal="center" vertical="center"/>
    </xf>
    <xf numFmtId="165" fontId="21" fillId="23" borderId="197" xfId="1" applyNumberFormat="1" applyFont="1" applyFill="1" applyBorder="1" applyAlignment="1" applyProtection="1">
      <alignment horizontal="center" vertical="center"/>
    </xf>
    <xf numFmtId="165" fontId="20" fillId="23" borderId="89" xfId="1" applyNumberFormat="1" applyFont="1" applyFill="1" applyBorder="1" applyAlignment="1" applyProtection="1">
      <alignment horizontal="center" vertical="center"/>
    </xf>
    <xf numFmtId="165" fontId="20" fillId="23" borderId="90" xfId="1" applyNumberFormat="1" applyFont="1" applyFill="1" applyBorder="1" applyAlignment="1" applyProtection="1">
      <alignment horizontal="center" vertical="center"/>
    </xf>
    <xf numFmtId="165" fontId="20" fillId="23" borderId="91" xfId="1" applyNumberFormat="1" applyFont="1" applyFill="1" applyBorder="1" applyAlignment="1" applyProtection="1">
      <alignment horizontal="center" vertical="center"/>
    </xf>
    <xf numFmtId="2" fontId="20" fillId="23" borderId="89" xfId="0" applyNumberFormat="1" applyFont="1" applyFill="1" applyBorder="1" applyAlignment="1" applyProtection="1">
      <alignment horizontal="center" vertical="center"/>
    </xf>
    <xf numFmtId="2" fontId="20" fillId="23" borderId="90" xfId="0" applyNumberFormat="1" applyFont="1" applyFill="1" applyBorder="1" applyAlignment="1" applyProtection="1">
      <alignment horizontal="center" vertical="center"/>
    </xf>
    <xf numFmtId="2" fontId="20" fillId="23" borderId="91" xfId="0" applyNumberFormat="1" applyFont="1" applyFill="1" applyBorder="1" applyAlignment="1" applyProtection="1">
      <alignment horizontal="center" vertical="center"/>
    </xf>
    <xf numFmtId="10" fontId="20" fillId="23" borderId="41" xfId="0" applyNumberFormat="1" applyFont="1" applyFill="1" applyBorder="1" applyAlignment="1" applyProtection="1">
      <alignment horizontal="center" vertical="center"/>
    </xf>
    <xf numFmtId="165" fontId="20" fillId="23" borderId="41" xfId="0" applyNumberFormat="1" applyFont="1" applyFill="1" applyBorder="1" applyAlignment="1" applyProtection="1">
      <alignment horizontal="center" vertical="center"/>
    </xf>
    <xf numFmtId="1" fontId="20" fillId="23" borderId="41" xfId="0" applyNumberFormat="1" applyFont="1" applyFill="1" applyBorder="1" applyAlignment="1" applyProtection="1">
      <alignment horizontal="center" vertical="center"/>
    </xf>
    <xf numFmtId="165" fontId="20" fillId="24" borderId="41" xfId="0" applyNumberFormat="1" applyFont="1" applyFill="1" applyBorder="1" applyAlignment="1" applyProtection="1">
      <alignment horizontal="center" vertical="center"/>
      <protection hidden="1"/>
    </xf>
    <xf numFmtId="165" fontId="20" fillId="24" borderId="41" xfId="0" applyNumberFormat="1" applyFont="1" applyFill="1" applyBorder="1" applyAlignment="1" applyProtection="1">
      <alignment horizontal="center" vertical="center"/>
    </xf>
    <xf numFmtId="0" fontId="20" fillId="0" borderId="0" xfId="0" applyFont="1" applyAlignment="1" applyProtection="1">
      <alignment vertical="center"/>
    </xf>
    <xf numFmtId="0" fontId="25" fillId="0" borderId="0" xfId="0" applyFont="1" applyFill="1" applyBorder="1" applyAlignment="1" applyProtection="1">
      <alignment vertical="center"/>
    </xf>
    <xf numFmtId="0" fontId="72" fillId="3" borderId="0" xfId="0" applyFont="1" applyFill="1" applyBorder="1" applyAlignment="1" applyProtection="1">
      <alignment vertical="top"/>
    </xf>
    <xf numFmtId="0" fontId="94" fillId="0" borderId="0" xfId="0" applyFont="1" applyFill="1" applyBorder="1" applyAlignment="1" applyProtection="1">
      <alignment vertical="center"/>
    </xf>
    <xf numFmtId="0" fontId="94" fillId="0" borderId="0" xfId="0" applyFont="1" applyAlignment="1" applyProtection="1">
      <alignment vertical="center"/>
    </xf>
    <xf numFmtId="0" fontId="123" fillId="3" borderId="0" xfId="0" applyFont="1" applyFill="1" applyBorder="1" applyAlignment="1" applyProtection="1">
      <alignment vertical="top"/>
    </xf>
    <xf numFmtId="5" fontId="69" fillId="3" borderId="19" xfId="0" applyNumberFormat="1" applyFont="1" applyFill="1" applyBorder="1" applyAlignment="1" applyProtection="1">
      <alignment horizontal="center" vertical="center"/>
      <protection locked="0"/>
    </xf>
    <xf numFmtId="0" fontId="69" fillId="3" borderId="19" xfId="0" applyFont="1" applyFill="1" applyBorder="1" applyAlignment="1" applyProtection="1">
      <alignment horizontal="left" vertical="center"/>
      <protection locked="0"/>
    </xf>
    <xf numFmtId="0" fontId="69" fillId="9" borderId="19" xfId="0" applyFont="1" applyFill="1" applyBorder="1" applyAlignment="1" applyProtection="1">
      <alignment horizontal="center" vertical="center"/>
    </xf>
    <xf numFmtId="14" fontId="69" fillId="3" borderId="19" xfId="0" applyNumberFormat="1" applyFont="1" applyFill="1" applyBorder="1" applyAlignment="1" applyProtection="1">
      <alignment horizontal="center" vertical="center"/>
      <protection locked="0"/>
    </xf>
    <xf numFmtId="167" fontId="69" fillId="3" borderId="19" xfId="2" applyNumberFormat="1" applyFont="1" applyFill="1" applyBorder="1" applyAlignment="1" applyProtection="1">
      <alignment horizontal="center" vertical="center"/>
      <protection locked="0"/>
    </xf>
    <xf numFmtId="0" fontId="69" fillId="9" borderId="32" xfId="0" applyFont="1" applyFill="1" applyBorder="1" applyAlignment="1" applyProtection="1">
      <alignment vertical="center"/>
    </xf>
    <xf numFmtId="0" fontId="69" fillId="9" borderId="14" xfId="0" applyFont="1" applyFill="1" applyBorder="1" applyAlignment="1" applyProtection="1">
      <alignment horizontal="center" vertical="center"/>
    </xf>
    <xf numFmtId="0" fontId="69" fillId="15" borderId="29" xfId="0" applyFont="1" applyFill="1" applyBorder="1" applyAlignment="1" applyProtection="1">
      <alignment vertical="center"/>
    </xf>
    <xf numFmtId="0" fontId="69" fillId="3" borderId="30" xfId="0" applyFont="1" applyFill="1" applyBorder="1" applyAlignment="1" applyProtection="1">
      <alignment horizontal="left" vertical="center"/>
      <protection locked="0"/>
    </xf>
    <xf numFmtId="0" fontId="69" fillId="3" borderId="30" xfId="0" applyFont="1" applyFill="1" applyBorder="1" applyAlignment="1" applyProtection="1">
      <alignment horizontal="center" vertical="center"/>
      <protection locked="0"/>
    </xf>
    <xf numFmtId="14" fontId="69" fillId="3" borderId="30" xfId="0" applyNumberFormat="1" applyFont="1" applyFill="1" applyBorder="1" applyAlignment="1" applyProtection="1">
      <alignment horizontal="center" vertical="center"/>
      <protection locked="0"/>
    </xf>
    <xf numFmtId="167" fontId="69" fillId="3" borderId="30" xfId="2" applyNumberFormat="1" applyFont="1" applyFill="1" applyBorder="1" applyAlignment="1" applyProtection="1">
      <alignment horizontal="center" vertical="center"/>
      <protection locked="0"/>
    </xf>
    <xf numFmtId="5" fontId="69" fillId="3" borderId="30" xfId="0" applyNumberFormat="1" applyFont="1" applyFill="1" applyBorder="1" applyAlignment="1" applyProtection="1">
      <alignment horizontal="center" vertical="center"/>
      <protection locked="0"/>
    </xf>
    <xf numFmtId="0" fontId="69" fillId="21" borderId="30" xfId="0" applyFont="1" applyFill="1" applyBorder="1" applyAlignment="1" applyProtection="1">
      <alignment horizontal="left" vertical="center"/>
    </xf>
    <xf numFmtId="0" fontId="69" fillId="21" borderId="30" xfId="0" applyFont="1" applyFill="1" applyBorder="1" applyAlignment="1" applyProtection="1">
      <alignment horizontal="center" vertical="center"/>
    </xf>
    <xf numFmtId="0" fontId="69" fillId="9" borderId="32" xfId="0" applyFont="1" applyFill="1" applyBorder="1" applyAlignment="1" applyProtection="1">
      <alignment horizontal="center" vertical="center"/>
    </xf>
    <xf numFmtId="14" fontId="69" fillId="9" borderId="14" xfId="0" applyNumberFormat="1" applyFont="1" applyFill="1" applyBorder="1" applyAlignment="1" applyProtection="1">
      <alignment horizontal="center" vertical="center"/>
    </xf>
    <xf numFmtId="10" fontId="69" fillId="9" borderId="14" xfId="0" applyNumberFormat="1" applyFont="1" applyFill="1" applyBorder="1" applyAlignment="1" applyProtection="1">
      <alignment horizontal="center" vertical="center"/>
    </xf>
    <xf numFmtId="168" fontId="69" fillId="9" borderId="14" xfId="2" applyNumberFormat="1" applyFont="1" applyFill="1" applyBorder="1" applyAlignment="1" applyProtection="1">
      <alignment horizontal="center" vertical="center"/>
    </xf>
    <xf numFmtId="165" fontId="58" fillId="21" borderId="192" xfId="0" applyNumberFormat="1" applyFont="1" applyFill="1" applyBorder="1" applyAlignment="1" applyProtection="1">
      <alignment horizontal="center" vertical="center"/>
    </xf>
    <xf numFmtId="165" fontId="69" fillId="16" borderId="97" xfId="0" applyNumberFormat="1" applyFont="1" applyFill="1" applyBorder="1" applyAlignment="1" applyProtection="1">
      <alignment horizontal="center" vertical="center"/>
      <protection locked="0"/>
    </xf>
    <xf numFmtId="5" fontId="69" fillId="3" borderId="134" xfId="0" applyNumberFormat="1" applyFont="1" applyFill="1" applyBorder="1" applyAlignment="1" applyProtection="1">
      <alignment horizontal="center" vertical="center"/>
      <protection locked="0"/>
    </xf>
    <xf numFmtId="165" fontId="58" fillId="21" borderId="191" xfId="0" applyNumberFormat="1" applyFont="1" applyFill="1" applyBorder="1" applyAlignment="1" applyProtection="1">
      <alignment horizontal="center" vertical="center"/>
    </xf>
    <xf numFmtId="14" fontId="69" fillId="10" borderId="57" xfId="0" applyNumberFormat="1" applyFont="1" applyFill="1" applyBorder="1" applyAlignment="1" applyProtection="1">
      <alignment horizontal="center" vertical="center"/>
    </xf>
    <xf numFmtId="14" fontId="69" fillId="10" borderId="52" xfId="0" applyNumberFormat="1" applyFont="1" applyFill="1" applyBorder="1" applyAlignment="1" applyProtection="1">
      <alignment horizontal="center" vertical="center"/>
    </xf>
    <xf numFmtId="168" fontId="69" fillId="10" borderId="52" xfId="2" applyNumberFormat="1" applyFont="1" applyFill="1" applyBorder="1" applyAlignment="1" applyProtection="1">
      <alignment horizontal="center" vertical="center"/>
    </xf>
    <xf numFmtId="0" fontId="69" fillId="10" borderId="52" xfId="0" applyFont="1" applyFill="1" applyBorder="1" applyAlignment="1" applyProtection="1">
      <alignment horizontal="center" vertical="center"/>
    </xf>
    <xf numFmtId="0" fontId="69" fillId="10" borderId="52" xfId="0" applyFont="1" applyFill="1" applyBorder="1" applyAlignment="1" applyProtection="1">
      <alignment vertical="center"/>
    </xf>
    <xf numFmtId="168" fontId="69" fillId="9" borderId="52" xfId="2" applyNumberFormat="1" applyFont="1" applyFill="1" applyBorder="1" applyAlignment="1" applyProtection="1">
      <alignment horizontal="center" vertical="center"/>
    </xf>
    <xf numFmtId="0" fontId="63" fillId="15" borderId="59" xfId="0" applyFont="1" applyFill="1" applyBorder="1" applyAlignment="1" applyProtection="1">
      <alignment vertical="center"/>
    </xf>
    <xf numFmtId="14" fontId="69" fillId="10" borderId="48" xfId="0" applyNumberFormat="1" applyFont="1" applyFill="1" applyBorder="1" applyAlignment="1" applyProtection="1">
      <alignment horizontal="center" vertical="center"/>
    </xf>
    <xf numFmtId="14" fontId="69" fillId="10" borderId="47" xfId="0" applyNumberFormat="1" applyFont="1" applyFill="1" applyBorder="1" applyAlignment="1" applyProtection="1">
      <alignment horizontal="center" vertical="center"/>
    </xf>
    <xf numFmtId="167" fontId="69" fillId="10" borderId="47" xfId="2" applyNumberFormat="1" applyFont="1" applyFill="1" applyBorder="1" applyAlignment="1" applyProtection="1">
      <alignment horizontal="center" vertical="center"/>
    </xf>
    <xf numFmtId="0" fontId="69" fillId="10" borderId="47" xfId="0" applyFont="1" applyFill="1" applyBorder="1" applyAlignment="1" applyProtection="1">
      <alignment horizontal="center" vertical="center"/>
    </xf>
    <xf numFmtId="0" fontId="69" fillId="10" borderId="47" xfId="0" applyFont="1" applyFill="1" applyBorder="1" applyAlignment="1" applyProtection="1">
      <alignment vertical="center"/>
    </xf>
    <xf numFmtId="168" fontId="69" fillId="9" borderId="47" xfId="2" applyNumberFormat="1" applyFont="1" applyFill="1" applyBorder="1" applyAlignment="1" applyProtection="1">
      <alignment horizontal="center" vertical="center"/>
    </xf>
    <xf numFmtId="0" fontId="63" fillId="15" borderId="58" xfId="0" applyFont="1" applyFill="1" applyBorder="1" applyAlignment="1" applyProtection="1">
      <alignment vertical="center"/>
    </xf>
    <xf numFmtId="168" fontId="69" fillId="9" borderId="161" xfId="2" applyNumberFormat="1" applyFont="1" applyFill="1" applyBorder="1" applyAlignment="1" applyProtection="1">
      <alignment horizontal="center" vertical="center"/>
    </xf>
    <xf numFmtId="166" fontId="69" fillId="15" borderId="97" xfId="0" applyNumberFormat="1" applyFont="1" applyFill="1" applyBorder="1" applyAlignment="1" applyProtection="1">
      <alignment horizontal="center" vertical="center"/>
      <protection locked="0"/>
    </xf>
    <xf numFmtId="165" fontId="58" fillId="23" borderId="193" xfId="0" applyNumberFormat="1" applyFont="1" applyFill="1" applyBorder="1" applyAlignment="1" applyProtection="1">
      <alignment horizontal="center" vertical="center"/>
    </xf>
    <xf numFmtId="165" fontId="58" fillId="23" borderId="190" xfId="0" applyNumberFormat="1" applyFont="1" applyFill="1" applyBorder="1" applyAlignment="1" applyProtection="1">
      <alignment horizontal="center" vertical="center"/>
    </xf>
    <xf numFmtId="165" fontId="20" fillId="23" borderId="194" xfId="0" applyNumberFormat="1" applyFont="1" applyFill="1" applyBorder="1" applyAlignment="1" applyProtection="1">
      <alignment horizontal="center" vertical="center"/>
    </xf>
    <xf numFmtId="5" fontId="69" fillId="23" borderId="19" xfId="0" applyNumberFormat="1" applyFont="1" applyFill="1" applyBorder="1" applyAlignment="1" applyProtection="1">
      <alignment horizontal="center" vertical="center"/>
    </xf>
    <xf numFmtId="0" fontId="69" fillId="23" borderId="19" xfId="0" applyFont="1" applyFill="1" applyBorder="1" applyAlignment="1" applyProtection="1">
      <alignment horizontal="left" vertical="center"/>
    </xf>
    <xf numFmtId="0" fontId="4" fillId="0" borderId="0" xfId="26" applyProtection="1"/>
    <xf numFmtId="0" fontId="5" fillId="3" borderId="0" xfId="26" applyFont="1" applyFill="1" applyBorder="1" applyAlignment="1" applyProtection="1">
      <alignment horizontal="left" vertical="center" wrapText="1"/>
    </xf>
    <xf numFmtId="0" fontId="5" fillId="3" borderId="0" xfId="26" applyFont="1" applyFill="1" applyBorder="1" applyProtection="1"/>
    <xf numFmtId="0" fontId="5" fillId="3" borderId="0" xfId="26" applyFont="1" applyFill="1" applyBorder="1" applyAlignment="1" applyProtection="1">
      <alignment vertical="top" wrapText="1"/>
    </xf>
    <xf numFmtId="0" fontId="5" fillId="3" borderId="0" xfId="26" applyFont="1" applyFill="1" applyBorder="1" applyAlignment="1" applyProtection="1"/>
    <xf numFmtId="0" fontId="5" fillId="3" borderId="0" xfId="26" applyFont="1" applyFill="1" applyBorder="1" applyAlignment="1" applyProtection="1">
      <alignment horizontal="left" vertical="top" wrapText="1"/>
    </xf>
    <xf numFmtId="0" fontId="4" fillId="0" borderId="0" xfId="26" applyAlignment="1" applyProtection="1">
      <alignment horizontal="center"/>
    </xf>
    <xf numFmtId="0" fontId="5" fillId="3" borderId="115" xfId="26" applyFont="1" applyFill="1" applyBorder="1" applyAlignment="1" applyProtection="1">
      <alignment vertical="center" wrapText="1"/>
    </xf>
    <xf numFmtId="0" fontId="5" fillId="3" borderId="16" xfId="26" applyFont="1" applyFill="1" applyBorder="1" applyAlignment="1" applyProtection="1">
      <alignment vertical="center" wrapText="1"/>
    </xf>
    <xf numFmtId="0" fontId="125" fillId="3" borderId="16" xfId="26" applyFont="1" applyFill="1" applyBorder="1" applyAlignment="1" applyProtection="1">
      <alignment horizontal="left" vertical="top" wrapText="1"/>
    </xf>
    <xf numFmtId="0" fontId="5" fillId="3" borderId="86" xfId="26" applyFont="1" applyFill="1" applyBorder="1" applyAlignment="1" applyProtection="1">
      <alignment vertical="center" wrapText="1"/>
    </xf>
    <xf numFmtId="0" fontId="125" fillId="3" borderId="111" xfId="26" applyFont="1" applyFill="1" applyBorder="1" applyAlignment="1" applyProtection="1">
      <alignment horizontal="left" vertical="top" wrapText="1"/>
    </xf>
    <xf numFmtId="0" fontId="125" fillId="3" borderId="86" xfId="26" applyFont="1" applyFill="1" applyBorder="1" applyAlignment="1" applyProtection="1">
      <alignment horizontal="left" vertical="top" wrapText="1"/>
    </xf>
    <xf numFmtId="0" fontId="69" fillId="3" borderId="0" xfId="26" applyFont="1" applyFill="1" applyBorder="1" applyAlignment="1" applyProtection="1">
      <alignment vertical="center" wrapText="1"/>
    </xf>
    <xf numFmtId="0" fontId="125" fillId="3" borderId="0" xfId="26" applyFont="1" applyFill="1" applyBorder="1" applyAlignment="1" applyProtection="1">
      <alignment horizontal="right" vertical="top" wrapText="1"/>
    </xf>
    <xf numFmtId="0" fontId="125" fillId="3" borderId="109" xfId="26" applyFont="1" applyFill="1" applyBorder="1" applyAlignment="1" applyProtection="1">
      <alignment horizontal="right" vertical="top"/>
    </xf>
    <xf numFmtId="0" fontId="125" fillId="3" borderId="113" xfId="26" applyFont="1" applyFill="1" applyBorder="1" applyAlignment="1" applyProtection="1">
      <alignment horizontal="left" vertical="top"/>
    </xf>
    <xf numFmtId="0" fontId="69" fillId="3" borderId="0" xfId="26" applyFont="1" applyFill="1" applyBorder="1" applyAlignment="1" applyProtection="1">
      <alignment horizontal="right" vertical="center"/>
    </xf>
    <xf numFmtId="0" fontId="125" fillId="3" borderId="0" xfId="26" applyFont="1" applyFill="1" applyBorder="1" applyAlignment="1" applyProtection="1">
      <alignment horizontal="right" vertical="top"/>
    </xf>
    <xf numFmtId="0" fontId="63" fillId="0" borderId="0" xfId="0" applyFont="1" applyAlignment="1" applyProtection="1">
      <alignment horizontal="left"/>
    </xf>
    <xf numFmtId="0" fontId="69" fillId="3" borderId="110" xfId="9" applyFont="1" applyFill="1" applyBorder="1" applyAlignment="1" applyProtection="1">
      <alignment vertical="center" wrapText="1"/>
    </xf>
    <xf numFmtId="0" fontId="69" fillId="3" borderId="0" xfId="9" applyFont="1" applyFill="1" applyBorder="1" applyAlignment="1" applyProtection="1">
      <alignment horizontal="right" vertical="center"/>
    </xf>
    <xf numFmtId="0" fontId="84" fillId="0" borderId="0" xfId="9" applyFont="1" applyProtection="1"/>
    <xf numFmtId="0" fontId="69" fillId="3" borderId="110" xfId="9" applyFont="1" applyFill="1" applyBorder="1" applyAlignment="1" applyProtection="1">
      <alignment horizontal="left" vertical="top" wrapText="1"/>
    </xf>
    <xf numFmtId="0" fontId="69" fillId="3" borderId="111" xfId="9" applyFont="1" applyFill="1" applyBorder="1" applyAlignment="1" applyProtection="1">
      <alignment horizontal="left" vertical="top" wrapText="1"/>
    </xf>
    <xf numFmtId="0" fontId="69" fillId="3" borderId="0" xfId="9" applyFont="1" applyFill="1" applyBorder="1" applyAlignment="1" applyProtection="1">
      <alignment horizontal="left" vertical="center" wrapText="1"/>
    </xf>
    <xf numFmtId="2" fontId="69" fillId="3" borderId="0" xfId="9" applyNumberFormat="1" applyFont="1" applyFill="1" applyBorder="1" applyAlignment="1" applyProtection="1">
      <alignment horizontal="left" vertical="center" wrapText="1"/>
    </xf>
    <xf numFmtId="0" fontId="58" fillId="3" borderId="94" xfId="9" applyFont="1" applyFill="1" applyBorder="1" applyAlignment="1" applyProtection="1">
      <alignment vertical="top" wrapText="1"/>
    </xf>
    <xf numFmtId="0" fontId="58" fillId="3" borderId="109" xfId="9" applyFont="1" applyFill="1" applyBorder="1" applyAlignment="1" applyProtection="1">
      <alignment vertical="top" wrapText="1"/>
    </xf>
    <xf numFmtId="0" fontId="58" fillId="3" borderId="0" xfId="9" applyFont="1" applyFill="1" applyBorder="1" applyAlignment="1" applyProtection="1">
      <alignment vertical="top" wrapText="1"/>
    </xf>
    <xf numFmtId="0" fontId="58" fillId="3" borderId="0" xfId="9" applyFont="1" applyFill="1" applyBorder="1" applyAlignment="1" applyProtection="1">
      <alignment horizontal="right" vertical="top" wrapText="1"/>
    </xf>
    <xf numFmtId="0" fontId="58" fillId="3" borderId="113" xfId="9" applyFont="1" applyFill="1" applyBorder="1" applyAlignment="1" applyProtection="1">
      <alignment vertical="top" wrapText="1"/>
    </xf>
    <xf numFmtId="0" fontId="69" fillId="3" borderId="94" xfId="9" applyFont="1" applyFill="1" applyBorder="1" applyAlignment="1" applyProtection="1">
      <alignment vertical="center" wrapText="1"/>
    </xf>
    <xf numFmtId="0" fontId="58" fillId="3" borderId="110" xfId="9" applyFont="1" applyFill="1" applyBorder="1" applyAlignment="1" applyProtection="1">
      <alignment vertical="center" wrapText="1"/>
    </xf>
    <xf numFmtId="0" fontId="69" fillId="3" borderId="109" xfId="9" applyFont="1" applyFill="1" applyBorder="1" applyAlignment="1" applyProtection="1">
      <alignment vertical="center" wrapText="1"/>
    </xf>
    <xf numFmtId="0" fontId="69" fillId="3" borderId="109" xfId="9" applyFont="1" applyFill="1" applyBorder="1" applyAlignment="1" applyProtection="1">
      <alignment vertical="center"/>
    </xf>
    <xf numFmtId="165" fontId="58" fillId="3" borderId="0" xfId="9" applyNumberFormat="1" applyFont="1" applyFill="1" applyBorder="1" applyAlignment="1" applyProtection="1">
      <alignment vertical="center"/>
    </xf>
    <xf numFmtId="0" fontId="69" fillId="3" borderId="113" xfId="9" applyFont="1" applyFill="1" applyBorder="1" applyAlignment="1" applyProtection="1">
      <alignment vertical="center" wrapText="1"/>
    </xf>
    <xf numFmtId="0" fontId="69" fillId="3" borderId="111" xfId="9" applyFont="1" applyFill="1" applyBorder="1" applyAlignment="1" applyProtection="1">
      <alignment horizontal="right" vertical="center"/>
    </xf>
    <xf numFmtId="0" fontId="58" fillId="3" borderId="0" xfId="9" applyFont="1" applyFill="1" applyBorder="1" applyAlignment="1" applyProtection="1">
      <alignment vertical="center" wrapText="1"/>
    </xf>
    <xf numFmtId="0" fontId="0" fillId="25" borderId="1" xfId="0" applyFill="1" applyBorder="1" applyAlignment="1">
      <alignment vertical="center"/>
    </xf>
    <xf numFmtId="0" fontId="0" fillId="0" borderId="1" xfId="0" applyFill="1" applyBorder="1" applyAlignment="1">
      <alignment vertical="center"/>
    </xf>
    <xf numFmtId="0" fontId="9" fillId="0" borderId="0" xfId="9" applyFill="1" applyAlignment="1" applyProtection="1">
      <alignment horizontal="center"/>
    </xf>
    <xf numFmtId="0" fontId="16" fillId="0" borderId="0" xfId="0" applyFont="1" applyFill="1" applyBorder="1" applyAlignment="1" applyProtection="1">
      <alignment horizontal="left"/>
    </xf>
    <xf numFmtId="0" fontId="9" fillId="0" borderId="0" xfId="9" applyFill="1" applyProtection="1"/>
    <xf numFmtId="0" fontId="7" fillId="0" borderId="0" xfId="9" applyFont="1" applyFill="1" applyAlignment="1" applyProtection="1">
      <alignment horizontal="center"/>
    </xf>
    <xf numFmtId="0" fontId="69" fillId="3" borderId="99" xfId="9" applyFont="1" applyFill="1" applyBorder="1" applyAlignment="1" applyProtection="1">
      <alignment vertical="center" wrapText="1"/>
    </xf>
    <xf numFmtId="0" fontId="58" fillId="3" borderId="0" xfId="9" quotePrefix="1" applyFont="1" applyFill="1" applyBorder="1" applyAlignment="1" applyProtection="1">
      <alignment vertical="center" wrapText="1"/>
    </xf>
    <xf numFmtId="0" fontId="69" fillId="3" borderId="109" xfId="9" applyFont="1" applyFill="1" applyBorder="1" applyAlignment="1" applyProtection="1">
      <alignment horizontal="right" vertical="center"/>
    </xf>
    <xf numFmtId="0" fontId="69" fillId="3" borderId="109" xfId="9" applyFont="1" applyFill="1" applyBorder="1" applyAlignment="1" applyProtection="1">
      <alignment horizontal="right" vertical="center" wrapText="1"/>
    </xf>
    <xf numFmtId="0" fontId="69" fillId="3" borderId="113" xfId="9" applyFont="1" applyFill="1" applyBorder="1" applyAlignment="1" applyProtection="1">
      <alignment horizontal="right" vertical="center" wrapText="1"/>
    </xf>
    <xf numFmtId="0" fontId="84" fillId="0" borderId="94" xfId="26" applyFont="1" applyBorder="1" applyProtection="1"/>
    <xf numFmtId="0" fontId="69" fillId="3" borderId="110" xfId="26" applyFont="1" applyFill="1" applyBorder="1" applyAlignment="1" applyProtection="1">
      <alignment vertical="center" wrapText="1"/>
    </xf>
    <xf numFmtId="0" fontId="84" fillId="0" borderId="109" xfId="26" applyFont="1" applyBorder="1" applyProtection="1"/>
    <xf numFmtId="0" fontId="84" fillId="0" borderId="113" xfId="26" applyFont="1" applyBorder="1" applyProtection="1"/>
    <xf numFmtId="0" fontId="69" fillId="3" borderId="111" xfId="26" applyFont="1" applyFill="1" applyBorder="1" applyAlignment="1" applyProtection="1">
      <alignment vertical="center" wrapText="1"/>
    </xf>
    <xf numFmtId="0" fontId="128" fillId="14" borderId="52" xfId="9" applyFont="1" applyFill="1" applyBorder="1" applyAlignment="1" applyProtection="1">
      <alignment vertical="center" wrapText="1"/>
    </xf>
    <xf numFmtId="0" fontId="128" fillId="14" borderId="0" xfId="9" applyFont="1" applyFill="1" applyBorder="1" applyAlignment="1" applyProtection="1">
      <alignment vertical="center" wrapText="1"/>
    </xf>
    <xf numFmtId="0" fontId="128" fillId="14" borderId="47" xfId="9" applyFont="1" applyFill="1" applyBorder="1" applyAlignment="1" applyProtection="1">
      <alignment vertical="center" wrapText="1"/>
    </xf>
    <xf numFmtId="0" fontId="69" fillId="3" borderId="113" xfId="9" applyFont="1" applyFill="1" applyBorder="1" applyProtection="1"/>
    <xf numFmtId="0" fontId="12" fillId="0" borderId="0" xfId="0" applyFont="1" applyBorder="1" applyAlignment="1" applyProtection="1"/>
    <xf numFmtId="0" fontId="62" fillId="0" borderId="0" xfId="0" applyFont="1" applyAlignment="1" applyProtection="1"/>
    <xf numFmtId="0" fontId="77" fillId="0" borderId="0" xfId="0" applyFont="1" applyAlignment="1" applyProtection="1"/>
    <xf numFmtId="0" fontId="60" fillId="0" borderId="0" xfId="0" applyFont="1" applyAlignment="1" applyProtection="1">
      <alignment vertical="top"/>
    </xf>
    <xf numFmtId="0" fontId="60" fillId="0" borderId="0" xfId="0" applyFont="1" applyBorder="1" applyAlignment="1" applyProtection="1">
      <alignment vertical="top"/>
    </xf>
    <xf numFmtId="0" fontId="60" fillId="3" borderId="0" xfId="0" applyFont="1" applyFill="1" applyBorder="1" applyAlignment="1" applyProtection="1">
      <alignment vertical="top"/>
    </xf>
    <xf numFmtId="0" fontId="59" fillId="0" borderId="0" xfId="0" applyFont="1" applyAlignment="1" applyProtection="1"/>
    <xf numFmtId="0" fontId="59" fillId="3" borderId="39" xfId="19" applyFont="1" applyFill="1" applyBorder="1" applyAlignment="1" applyProtection="1"/>
    <xf numFmtId="0" fontId="59" fillId="3" borderId="0" xfId="0" applyFont="1" applyFill="1" applyAlignment="1" applyProtection="1"/>
    <xf numFmtId="0" fontId="16" fillId="0" borderId="0" xfId="0" applyFont="1"/>
    <xf numFmtId="49" fontId="16" fillId="25" borderId="1" xfId="0" applyNumberFormat="1" applyFont="1" applyFill="1" applyBorder="1" applyAlignment="1">
      <alignment horizontal="center" vertical="center"/>
    </xf>
    <xf numFmtId="0" fontId="16" fillId="25" borderId="1" xfId="0" applyFont="1" applyFill="1" applyBorder="1" applyAlignment="1">
      <alignment vertical="center"/>
    </xf>
    <xf numFmtId="7" fontId="16" fillId="0" borderId="1" xfId="0" applyNumberFormat="1" applyFont="1" applyBorder="1" applyAlignment="1">
      <alignment horizontal="center" vertical="center"/>
    </xf>
    <xf numFmtId="0" fontId="42" fillId="7" borderId="1" xfId="0" applyFont="1" applyFill="1" applyBorder="1" applyAlignment="1">
      <alignment vertical="center"/>
    </xf>
    <xf numFmtId="0" fontId="0" fillId="0" borderId="0" xfId="0" applyFill="1" applyBorder="1" applyAlignment="1">
      <alignment vertical="center"/>
    </xf>
    <xf numFmtId="0" fontId="34" fillId="7" borderId="1" xfId="0" applyFont="1" applyFill="1" applyBorder="1" applyAlignment="1" applyProtection="1">
      <alignment horizontal="left" vertical="center"/>
    </xf>
    <xf numFmtId="0" fontId="16" fillId="0" borderId="1" xfId="0" applyFont="1" applyBorder="1"/>
    <xf numFmtId="165" fontId="58" fillId="3" borderId="111" xfId="9" applyNumberFormat="1" applyFont="1" applyFill="1" applyBorder="1" applyAlignment="1" applyProtection="1">
      <alignment horizontal="center" vertical="center" wrapText="1"/>
    </xf>
    <xf numFmtId="0" fontId="21" fillId="0" borderId="6" xfId="0" applyFont="1" applyBorder="1" applyProtection="1"/>
    <xf numFmtId="0" fontId="69" fillId="3" borderId="0" xfId="9" applyFont="1" applyFill="1" applyBorder="1" applyAlignment="1" applyProtection="1">
      <alignment horizontal="right" vertical="center"/>
    </xf>
    <xf numFmtId="0" fontId="69" fillId="3" borderId="0" xfId="9" applyFont="1" applyFill="1" applyBorder="1" applyAlignment="1" applyProtection="1">
      <alignment horizontal="right" vertical="center" wrapText="1"/>
    </xf>
    <xf numFmtId="0" fontId="58" fillId="3" borderId="0" xfId="9" applyFont="1" applyFill="1" applyBorder="1" applyAlignment="1" applyProtection="1">
      <alignment horizontal="left" vertical="center"/>
    </xf>
    <xf numFmtId="0" fontId="16" fillId="0" borderId="1" xfId="0" applyFont="1" applyBorder="1" applyAlignment="1">
      <alignment vertical="center"/>
    </xf>
    <xf numFmtId="0" fontId="69" fillId="2" borderId="0" xfId="9" applyFont="1" applyFill="1" applyBorder="1" applyAlignment="1" applyProtection="1">
      <alignment horizontal="left" vertical="top" wrapText="1"/>
    </xf>
    <xf numFmtId="0" fontId="4" fillId="0" borderId="0" xfId="9" applyFont="1" applyProtection="1"/>
    <xf numFmtId="3" fontId="57" fillId="22" borderId="39" xfId="0" applyNumberFormat="1" applyFont="1" applyFill="1" applyBorder="1" applyAlignment="1" applyProtection="1">
      <alignment horizontal="center" vertical="center"/>
    </xf>
    <xf numFmtId="49" fontId="48" fillId="3" borderId="240" xfId="0" quotePrefix="1" applyNumberFormat="1" applyFont="1" applyFill="1" applyBorder="1" applyAlignment="1" applyProtection="1">
      <alignment horizontal="center" vertical="center" wrapText="1"/>
      <protection locked="0"/>
    </xf>
    <xf numFmtId="0" fontId="48" fillId="3" borderId="241" xfId="0" applyFont="1" applyFill="1" applyBorder="1" applyAlignment="1" applyProtection="1">
      <alignment horizontal="center" vertical="center"/>
      <protection locked="0"/>
    </xf>
    <xf numFmtId="165" fontId="48" fillId="3" borderId="273" xfId="0" applyNumberFormat="1" applyFont="1" applyFill="1" applyBorder="1" applyAlignment="1" applyProtection="1">
      <alignment horizontal="center" vertical="center"/>
      <protection locked="0"/>
    </xf>
    <xf numFmtId="165" fontId="48" fillId="23" borderId="274" xfId="0" applyNumberFormat="1" applyFont="1" applyFill="1" applyBorder="1" applyAlignment="1" applyProtection="1">
      <alignment horizontal="center" vertical="center"/>
    </xf>
    <xf numFmtId="0" fontId="48" fillId="3" borderId="275" xfId="0" applyFont="1" applyFill="1" applyBorder="1" applyAlignment="1" applyProtection="1">
      <alignment horizontal="center" vertical="center"/>
      <protection locked="0"/>
    </xf>
    <xf numFmtId="1" fontId="48" fillId="3" borderId="275" xfId="0" applyNumberFormat="1" applyFont="1" applyFill="1" applyBorder="1" applyAlignment="1" applyProtection="1">
      <alignment horizontal="center" vertical="center"/>
      <protection locked="0"/>
    </xf>
    <xf numFmtId="168" fontId="48" fillId="23" borderId="274" xfId="2" applyNumberFormat="1" applyFont="1" applyFill="1" applyBorder="1" applyAlignment="1" applyProtection="1">
      <alignment horizontal="center" vertical="center"/>
    </xf>
    <xf numFmtId="165" fontId="48" fillId="3" borderId="275" xfId="0" applyNumberFormat="1" applyFont="1" applyFill="1" applyBorder="1" applyAlignment="1" applyProtection="1">
      <alignment horizontal="center" vertical="center"/>
      <protection locked="0"/>
    </xf>
    <xf numFmtId="168" fontId="48" fillId="23" borderId="274" xfId="0" applyNumberFormat="1" applyFont="1" applyFill="1" applyBorder="1" applyAlignment="1" applyProtection="1">
      <alignment horizontal="center" vertical="center"/>
    </xf>
    <xf numFmtId="0" fontId="64" fillId="0" borderId="0" xfId="17" applyFont="1" applyFill="1" applyBorder="1" applyAlignment="1" applyProtection="1">
      <alignment horizontal="left" wrapText="1"/>
    </xf>
    <xf numFmtId="1" fontId="9" fillId="0" borderId="0" xfId="9" applyNumberFormat="1" applyProtection="1"/>
    <xf numFmtId="2" fontId="9" fillId="0" borderId="0" xfId="9" applyNumberFormat="1" applyProtection="1"/>
    <xf numFmtId="166" fontId="21" fillId="0" borderId="0" xfId="0" applyNumberFormat="1" applyFont="1" applyAlignment="1" applyProtection="1">
      <alignment horizontal="center" vertical="center"/>
    </xf>
    <xf numFmtId="166" fontId="69" fillId="23" borderId="19" xfId="0" applyNumberFormat="1" applyFont="1" applyFill="1" applyBorder="1" applyAlignment="1" applyProtection="1">
      <alignment horizontal="center" vertical="center"/>
    </xf>
    <xf numFmtId="5" fontId="20" fillId="26" borderId="159" xfId="0" applyNumberFormat="1" applyFont="1" applyFill="1" applyBorder="1" applyAlignment="1" applyProtection="1">
      <alignment horizontal="center" vertical="center"/>
    </xf>
    <xf numFmtId="168" fontId="20" fillId="22" borderId="0" xfId="2" applyNumberFormat="1" applyFont="1" applyFill="1" applyBorder="1" applyAlignment="1" applyProtection="1">
      <alignment horizontal="center" vertical="center"/>
    </xf>
    <xf numFmtId="0" fontId="20" fillId="23" borderId="66" xfId="0" applyNumberFormat="1" applyFont="1" applyFill="1" applyBorder="1" applyAlignment="1" applyProtection="1">
      <alignment horizontal="left" vertical="center"/>
    </xf>
    <xf numFmtId="0" fontId="21" fillId="0" borderId="46" xfId="0" applyFont="1" applyBorder="1" applyProtection="1"/>
    <xf numFmtId="0" fontId="110" fillId="3" borderId="0" xfId="0" applyFont="1" applyFill="1" applyBorder="1" applyAlignment="1" applyProtection="1">
      <alignment horizontal="right" vertical="center"/>
    </xf>
    <xf numFmtId="0" fontId="94" fillId="0" borderId="0" xfId="0" applyFont="1" applyBorder="1" applyProtection="1"/>
    <xf numFmtId="0" fontId="94" fillId="3" borderId="0" xfId="0" applyFont="1" applyFill="1" applyBorder="1" applyProtection="1"/>
    <xf numFmtId="0" fontId="94" fillId="0" borderId="0" xfId="0" applyFont="1" applyBorder="1" applyAlignment="1" applyProtection="1">
      <alignment vertical="center"/>
    </xf>
    <xf numFmtId="0" fontId="94" fillId="3" borderId="0" xfId="0" applyFont="1" applyFill="1" applyBorder="1" applyAlignment="1" applyProtection="1">
      <alignment vertical="center"/>
    </xf>
    <xf numFmtId="0" fontId="18" fillId="3" borderId="0" xfId="0" applyFont="1" applyFill="1" applyBorder="1" applyAlignment="1" applyProtection="1">
      <alignment wrapText="1"/>
    </xf>
    <xf numFmtId="0" fontId="18" fillId="3" borderId="0" xfId="0" applyFont="1" applyFill="1" applyBorder="1" applyAlignment="1" applyProtection="1"/>
    <xf numFmtId="0" fontId="104" fillId="3" borderId="0" xfId="0" applyFont="1" applyFill="1" applyBorder="1" applyAlignment="1" applyProtection="1">
      <alignment vertical="center"/>
    </xf>
    <xf numFmtId="167" fontId="21" fillId="3" borderId="31" xfId="0" applyNumberFormat="1" applyFont="1" applyFill="1" applyBorder="1" applyAlignment="1" applyProtection="1">
      <alignment horizontal="center" vertical="center"/>
      <protection locked="0"/>
    </xf>
    <xf numFmtId="0" fontId="58" fillId="0" borderId="51" xfId="18" applyFont="1" applyFill="1" applyBorder="1" applyAlignment="1" applyProtection="1">
      <alignment vertical="center"/>
    </xf>
    <xf numFmtId="0" fontId="64" fillId="0" borderId="0" xfId="17" applyFont="1" applyFill="1" applyBorder="1" applyAlignment="1" applyProtection="1">
      <alignment wrapText="1"/>
    </xf>
    <xf numFmtId="0" fontId="64" fillId="0" borderId="0" xfId="17" applyFont="1" applyFill="1" applyBorder="1" applyAlignment="1" applyProtection="1">
      <alignment horizontal="center" wrapText="1"/>
    </xf>
    <xf numFmtId="0" fontId="58" fillId="0" borderId="0" xfId="3" applyFont="1" applyFill="1" applyBorder="1" applyAlignment="1" applyProtection="1">
      <alignment vertical="center" wrapText="1"/>
    </xf>
    <xf numFmtId="0" fontId="58" fillId="0" borderId="0" xfId="3" applyFont="1" applyFill="1" applyBorder="1" applyAlignment="1" applyProtection="1">
      <alignment vertical="center"/>
    </xf>
    <xf numFmtId="0" fontId="58" fillId="0" borderId="0" xfId="3" applyFont="1" applyFill="1" applyBorder="1" applyAlignment="1" applyProtection="1">
      <alignment horizontal="center" vertical="center"/>
    </xf>
    <xf numFmtId="0" fontId="58" fillId="0" borderId="0" xfId="3" applyFont="1" applyFill="1" applyBorder="1" applyAlignment="1" applyProtection="1">
      <alignment horizontal="center" vertical="center" wrapText="1"/>
    </xf>
    <xf numFmtId="0" fontId="42" fillId="0" borderId="0" xfId="17" applyFont="1" applyFill="1" applyBorder="1" applyAlignment="1" applyProtection="1">
      <alignment vertical="center" wrapText="1"/>
    </xf>
    <xf numFmtId="0" fontId="64" fillId="0" borderId="0" xfId="17" applyFont="1" applyFill="1" applyBorder="1" applyAlignment="1" applyProtection="1">
      <alignment vertical="top" wrapText="1"/>
    </xf>
    <xf numFmtId="0" fontId="64" fillId="0" borderId="0" xfId="17" applyFont="1" applyFill="1" applyBorder="1" applyAlignment="1" applyProtection="1">
      <alignment horizontal="center" vertical="top" wrapText="1"/>
    </xf>
    <xf numFmtId="0" fontId="58" fillId="0" borderId="38" xfId="17" applyFont="1" applyFill="1" applyBorder="1" applyAlignment="1" applyProtection="1">
      <alignment horizontal="right" vertical="center"/>
    </xf>
    <xf numFmtId="0" fontId="58" fillId="0" borderId="0" xfId="17" applyFont="1" applyFill="1" applyBorder="1" applyAlignment="1" applyProtection="1">
      <alignment horizontal="right" vertical="center"/>
    </xf>
    <xf numFmtId="0" fontId="21" fillId="3" borderId="0" xfId="0" applyFont="1" applyFill="1" applyAlignment="1" applyProtection="1">
      <alignment horizontal="center"/>
    </xf>
    <xf numFmtId="0" fontId="21" fillId="0" borderId="0" xfId="0" applyFont="1" applyAlignment="1" applyProtection="1">
      <alignment horizontal="center"/>
    </xf>
    <xf numFmtId="0" fontId="43" fillId="23" borderId="19" xfId="17" applyFont="1" applyFill="1" applyBorder="1" applyAlignment="1" applyProtection="1">
      <alignment horizontal="left" vertical="center"/>
    </xf>
    <xf numFmtId="0" fontId="18" fillId="3" borderId="111" xfId="0" applyFont="1" applyFill="1" applyBorder="1" applyAlignment="1" applyProtection="1"/>
    <xf numFmtId="0" fontId="58" fillId="3" borderId="0" xfId="0" applyFont="1" applyFill="1" applyBorder="1" applyAlignment="1" applyProtection="1">
      <alignment horizontal="right"/>
    </xf>
    <xf numFmtId="0" fontId="96" fillId="0" borderId="0" xfId="19" applyFont="1" applyFill="1" applyBorder="1" applyAlignment="1" applyProtection="1">
      <alignment horizontal="right" vertical="center"/>
      <protection locked="0"/>
    </xf>
    <xf numFmtId="0" fontId="61" fillId="0" borderId="0" xfId="0" applyFont="1" applyAlignment="1">
      <alignment vertical="top"/>
    </xf>
    <xf numFmtId="0" fontId="61" fillId="3" borderId="0" xfId="0" applyFont="1" applyFill="1" applyBorder="1" applyAlignment="1" applyProtection="1">
      <alignment vertical="top"/>
    </xf>
    <xf numFmtId="0" fontId="61" fillId="3" borderId="0" xfId="0" applyFont="1" applyFill="1" applyBorder="1" applyAlignment="1" applyProtection="1">
      <alignment horizontal="center" vertical="top"/>
    </xf>
    <xf numFmtId="0" fontId="61" fillId="0" borderId="0" xfId="0" applyFont="1" applyAlignment="1" applyProtection="1">
      <alignment vertical="top"/>
    </xf>
    <xf numFmtId="0" fontId="61" fillId="3" borderId="0" xfId="0" applyFont="1" applyFill="1" applyAlignment="1" applyProtection="1">
      <alignment vertical="top"/>
    </xf>
    <xf numFmtId="49" fontId="21" fillId="3" borderId="53" xfId="0" applyNumberFormat="1" applyFont="1" applyFill="1" applyBorder="1" applyAlignment="1" applyProtection="1">
      <alignment vertical="center"/>
    </xf>
    <xf numFmtId="49" fontId="21" fillId="3" borderId="12" xfId="0" applyNumberFormat="1" applyFont="1" applyFill="1" applyBorder="1" applyAlignment="1" applyProtection="1">
      <alignment vertical="center"/>
    </xf>
    <xf numFmtId="0" fontId="73" fillId="3" borderId="33" xfId="19" applyFont="1" applyFill="1" applyBorder="1" applyAlignment="1" applyProtection="1">
      <alignment vertical="center" wrapText="1"/>
    </xf>
    <xf numFmtId="0" fontId="21" fillId="0" borderId="0" xfId="0" applyFont="1" applyFill="1" applyAlignment="1" applyProtection="1">
      <alignment horizontal="center"/>
    </xf>
    <xf numFmtId="49" fontId="21" fillId="0" borderId="0" xfId="0" applyNumberFormat="1" applyFont="1" applyFill="1" applyProtection="1"/>
    <xf numFmtId="0" fontId="21" fillId="0" borderId="0" xfId="0" applyFont="1" applyFill="1" applyAlignment="1" applyProtection="1">
      <alignment horizontal="left"/>
    </xf>
    <xf numFmtId="0" fontId="21" fillId="0" borderId="2" xfId="0" applyFont="1" applyBorder="1" applyAlignment="1" applyProtection="1">
      <alignment horizontal="center"/>
    </xf>
    <xf numFmtId="0" fontId="21" fillId="3" borderId="1" xfId="0" applyFont="1" applyFill="1" applyBorder="1" applyAlignment="1" applyProtection="1">
      <alignment horizontal="center"/>
    </xf>
    <xf numFmtId="0" fontId="21" fillId="3" borderId="6" xfId="0" applyFont="1" applyFill="1" applyBorder="1" applyAlignment="1" applyProtection="1">
      <alignment horizontal="center"/>
    </xf>
    <xf numFmtId="166" fontId="21" fillId="3" borderId="1" xfId="0" applyNumberFormat="1" applyFont="1" applyFill="1" applyBorder="1" applyProtection="1"/>
    <xf numFmtId="1" fontId="21" fillId="3" borderId="0" xfId="0" applyNumberFormat="1" applyFont="1" applyFill="1" applyAlignment="1" applyProtection="1">
      <alignment horizontal="center"/>
    </xf>
    <xf numFmtId="166" fontId="21" fillId="3" borderId="0" xfId="0" applyNumberFormat="1" applyFont="1" applyFill="1" applyBorder="1" applyAlignment="1" applyProtection="1">
      <alignment horizontal="center"/>
    </xf>
    <xf numFmtId="166" fontId="21" fillId="0" borderId="0" xfId="0" applyNumberFormat="1" applyFont="1" applyAlignment="1" applyProtection="1">
      <alignment horizontal="right"/>
    </xf>
    <xf numFmtId="0" fontId="21" fillId="0" borderId="0" xfId="0" applyFont="1" applyAlignment="1"/>
    <xf numFmtId="166" fontId="21" fillId="3" borderId="0" xfId="0" applyNumberFormat="1" applyFont="1" applyFill="1" applyBorder="1" applyProtection="1"/>
    <xf numFmtId="0" fontId="21" fillId="3" borderId="0" xfId="17" applyFont="1" applyFill="1" applyBorder="1" applyAlignment="1" applyProtection="1">
      <alignment horizontal="center" vertical="center"/>
    </xf>
    <xf numFmtId="0" fontId="21" fillId="3" borderId="0" xfId="17" applyFont="1" applyFill="1" applyBorder="1" applyAlignment="1" applyProtection="1">
      <alignment horizontal="left" vertical="center"/>
    </xf>
    <xf numFmtId="0" fontId="87" fillId="3" borderId="0" xfId="0" applyFont="1" applyFill="1" applyAlignment="1" applyProtection="1">
      <alignment horizontal="right" vertical="center" wrapText="1"/>
    </xf>
    <xf numFmtId="0" fontId="125" fillId="3" borderId="0" xfId="26" applyFont="1" applyFill="1" applyBorder="1" applyAlignment="1" applyProtection="1">
      <alignment horizontal="left" vertical="top" wrapText="1"/>
    </xf>
    <xf numFmtId="0" fontId="16" fillId="3" borderId="0" xfId="0" applyFont="1" applyFill="1" applyAlignment="1" applyProtection="1">
      <alignment vertical="center"/>
    </xf>
    <xf numFmtId="0" fontId="87" fillId="0" borderId="0" xfId="0" applyFont="1" applyFill="1" applyBorder="1" applyAlignment="1" applyProtection="1"/>
    <xf numFmtId="166" fontId="16" fillId="0" borderId="0" xfId="0" applyNumberFormat="1" applyFont="1" applyAlignment="1" applyProtection="1">
      <alignment vertical="center"/>
    </xf>
    <xf numFmtId="0" fontId="16" fillId="5" borderId="0" xfId="0" applyFont="1" applyFill="1" applyAlignment="1" applyProtection="1">
      <alignment horizontal="left"/>
    </xf>
    <xf numFmtId="0" fontId="16" fillId="2" borderId="0" xfId="0" applyFont="1" applyFill="1" applyAlignment="1" applyProtection="1">
      <alignment horizontal="left"/>
    </xf>
    <xf numFmtId="0" fontId="122" fillId="0" borderId="0" xfId="0" applyFont="1" applyAlignment="1" applyProtection="1">
      <alignment vertical="center"/>
    </xf>
    <xf numFmtId="0" fontId="122" fillId="0" borderId="290" xfId="0" applyFont="1" applyBorder="1" applyAlignment="1" applyProtection="1">
      <alignment vertical="center"/>
    </xf>
    <xf numFmtId="0" fontId="37" fillId="3" borderId="0" xfId="0" applyFont="1" applyFill="1" applyBorder="1" applyAlignment="1" applyProtection="1">
      <alignment vertical="center" wrapText="1"/>
      <protection hidden="1"/>
    </xf>
    <xf numFmtId="165" fontId="0" fillId="0" borderId="1" xfId="0" applyNumberFormat="1" applyBorder="1" applyProtection="1"/>
    <xf numFmtId="5" fontId="0" fillId="0" borderId="1" xfId="0" applyNumberFormat="1" applyBorder="1" applyProtection="1"/>
    <xf numFmtId="0" fontId="59" fillId="0" borderId="0" xfId="0" applyFont="1" applyFill="1" applyBorder="1" applyAlignment="1" applyProtection="1">
      <alignment vertical="center"/>
    </xf>
    <xf numFmtId="0" fontId="47" fillId="0" borderId="0" xfId="19" applyFont="1" applyFill="1" applyBorder="1" applyAlignment="1" applyProtection="1">
      <alignment vertical="top"/>
      <protection locked="0"/>
    </xf>
    <xf numFmtId="0" fontId="59" fillId="3" borderId="0" xfId="0" applyFont="1" applyFill="1" applyBorder="1" applyAlignment="1" applyProtection="1"/>
    <xf numFmtId="0" fontId="47" fillId="0" borderId="0" xfId="19" applyFont="1" applyFill="1" applyBorder="1" applyAlignment="1" applyProtection="1">
      <alignment vertical="center"/>
      <protection locked="0"/>
    </xf>
    <xf numFmtId="0" fontId="59" fillId="0" borderId="0" xfId="0" applyFont="1" applyAlignment="1" applyProtection="1">
      <alignment vertical="top"/>
    </xf>
    <xf numFmtId="0" fontId="69" fillId="3" borderId="0" xfId="0" quotePrefix="1" applyFont="1" applyFill="1" applyBorder="1" applyAlignment="1" applyProtection="1">
      <alignment horizontal="left"/>
    </xf>
    <xf numFmtId="0" fontId="84" fillId="10" borderId="46" xfId="9" quotePrefix="1" applyFont="1" applyFill="1" applyBorder="1" applyAlignment="1" applyProtection="1">
      <alignment horizontal="left" wrapText="1"/>
    </xf>
    <xf numFmtId="0" fontId="69" fillId="10" borderId="0" xfId="9" applyFont="1" applyFill="1" applyBorder="1" applyAlignment="1" applyProtection="1">
      <alignment horizontal="left" wrapText="1"/>
    </xf>
    <xf numFmtId="0" fontId="69" fillId="3" borderId="0" xfId="0" applyFont="1" applyFill="1" applyBorder="1" applyAlignment="1" applyProtection="1">
      <alignment horizontal="left"/>
    </xf>
    <xf numFmtId="0" fontId="16" fillId="0" borderId="1" xfId="0" applyFont="1" applyFill="1" applyBorder="1" applyAlignment="1">
      <alignment vertical="center"/>
    </xf>
    <xf numFmtId="7" fontId="16" fillId="0" borderId="1" xfId="0" applyNumberFormat="1" applyFont="1" applyBorder="1" applyAlignment="1">
      <alignment horizontal="center"/>
    </xf>
    <xf numFmtId="0" fontId="112" fillId="2" borderId="12" xfId="0" applyFont="1" applyFill="1" applyBorder="1" applyAlignment="1"/>
    <xf numFmtId="0" fontId="113" fillId="2" borderId="12" xfId="0" applyFont="1" applyFill="1" applyBorder="1" applyAlignment="1">
      <alignment horizontal="center"/>
    </xf>
    <xf numFmtId="0" fontId="112" fillId="2" borderId="12" xfId="0" applyFont="1" applyFill="1" applyBorder="1" applyAlignment="1">
      <alignment horizontal="left"/>
    </xf>
    <xf numFmtId="0" fontId="107" fillId="2" borderId="12" xfId="0" applyFont="1" applyFill="1" applyBorder="1"/>
    <xf numFmtId="0" fontId="107" fillId="2" borderId="0" xfId="0" applyFont="1" applyFill="1" applyAlignment="1">
      <alignment horizontal="left" vertical="center"/>
    </xf>
    <xf numFmtId="0" fontId="21" fillId="2" borderId="0" xfId="0" applyFont="1" applyFill="1"/>
    <xf numFmtId="0" fontId="21" fillId="0" borderId="42" xfId="0" applyFont="1" applyBorder="1"/>
    <xf numFmtId="0" fontId="107" fillId="19" borderId="38" xfId="0" applyFont="1" applyFill="1" applyBorder="1" applyAlignment="1">
      <alignment horizontal="left" vertical="center"/>
    </xf>
    <xf numFmtId="0" fontId="107" fillId="19" borderId="34" xfId="0" applyFont="1" applyFill="1" applyBorder="1" applyAlignment="1">
      <alignment horizontal="left" vertical="center"/>
    </xf>
    <xf numFmtId="0" fontId="0" fillId="0" borderId="42" xfId="0" applyBorder="1"/>
    <xf numFmtId="0" fontId="21" fillId="3" borderId="92" xfId="0" applyFont="1" applyFill="1" applyBorder="1" applyAlignment="1" applyProtection="1">
      <alignment vertical="center"/>
      <protection locked="0"/>
    </xf>
    <xf numFmtId="0" fontId="21" fillId="3" borderId="112" xfId="0" applyFont="1" applyFill="1" applyBorder="1" applyAlignment="1" applyProtection="1">
      <alignment vertical="center"/>
      <protection locked="0"/>
    </xf>
    <xf numFmtId="0" fontId="21" fillId="3" borderId="68" xfId="0" applyFont="1" applyFill="1" applyBorder="1" applyAlignment="1" applyProtection="1">
      <alignment vertical="center"/>
      <protection locked="0"/>
    </xf>
    <xf numFmtId="0" fontId="57" fillId="13" borderId="44" xfId="19" applyFont="1" applyFill="1" applyBorder="1" applyAlignment="1" applyProtection="1">
      <alignment horizontal="center" vertical="top" wrapText="1"/>
      <protection locked="0"/>
    </xf>
    <xf numFmtId="0" fontId="57" fillId="13" borderId="0" xfId="19" applyFont="1" applyFill="1" applyBorder="1" applyAlignment="1" applyProtection="1">
      <alignment horizontal="center" vertical="top" wrapText="1"/>
      <protection locked="0"/>
    </xf>
    <xf numFmtId="0" fontId="57" fillId="13" borderId="45" xfId="19" applyFont="1" applyFill="1" applyBorder="1" applyAlignment="1" applyProtection="1">
      <alignment horizontal="center" vertical="top" wrapText="1"/>
      <protection locked="0"/>
    </xf>
    <xf numFmtId="0" fontId="57" fillId="13" borderId="22" xfId="19" applyFont="1" applyFill="1" applyBorder="1" applyAlignment="1" applyProtection="1">
      <alignment horizontal="center" vertical="top" wrapText="1"/>
      <protection locked="0"/>
    </xf>
    <xf numFmtId="0" fontId="123" fillId="3" borderId="0" xfId="0" applyFont="1" applyFill="1" applyBorder="1" applyAlignment="1" applyProtection="1">
      <alignment horizontal="right" vertical="center"/>
    </xf>
    <xf numFmtId="0" fontId="10" fillId="0" borderId="0" xfId="3"/>
    <xf numFmtId="0" fontId="10" fillId="0" borderId="0" xfId="3"/>
    <xf numFmtId="0" fontId="63" fillId="3" borderId="0" xfId="0" applyFont="1" applyFill="1" applyBorder="1" applyAlignment="1" applyProtection="1">
      <alignment vertical="center"/>
    </xf>
    <xf numFmtId="0" fontId="12" fillId="3" borderId="0" xfId="0" applyFont="1" applyFill="1" applyAlignment="1" applyProtection="1">
      <alignment vertical="center"/>
    </xf>
    <xf numFmtId="0" fontId="12" fillId="3" borderId="0" xfId="0" applyFont="1" applyFill="1" applyAlignment="1" applyProtection="1"/>
    <xf numFmtId="49" fontId="134" fillId="3" borderId="66" xfId="0" applyNumberFormat="1" applyFont="1" applyFill="1" applyBorder="1" applyAlignment="1" applyProtection="1">
      <alignment horizontal="center" vertical="center"/>
    </xf>
    <xf numFmtId="0" fontId="62" fillId="0" borderId="0" xfId="0" applyFont="1" applyBorder="1" applyAlignment="1" applyProtection="1"/>
    <xf numFmtId="0" fontId="57" fillId="3" borderId="47" xfId="0" applyFont="1" applyFill="1" applyBorder="1" applyAlignment="1" applyProtection="1">
      <alignment vertical="top"/>
    </xf>
    <xf numFmtId="0" fontId="57" fillId="8" borderId="47" xfId="19" applyFont="1" applyFill="1" applyBorder="1" applyAlignment="1" applyProtection="1">
      <alignment vertical="top" wrapText="1"/>
      <protection locked="0"/>
    </xf>
    <xf numFmtId="0" fontId="21" fillId="0" borderId="0" xfId="3" applyFont="1" applyProtection="1"/>
    <xf numFmtId="168" fontId="21" fillId="0" borderId="0" xfId="3" applyNumberFormat="1" applyFont="1" applyProtection="1"/>
    <xf numFmtId="0" fontId="15" fillId="3" borderId="0" xfId="3" applyFont="1" applyFill="1" applyBorder="1" applyAlignment="1" applyProtection="1">
      <alignment horizontal="right"/>
    </xf>
    <xf numFmtId="49" fontId="21" fillId="3" borderId="0" xfId="3" applyNumberFormat="1" applyFont="1" applyFill="1" applyBorder="1" applyAlignment="1" applyProtection="1"/>
    <xf numFmtId="0" fontId="21" fillId="3" borderId="0" xfId="3" applyFont="1" applyFill="1" applyBorder="1" applyAlignment="1" applyProtection="1"/>
    <xf numFmtId="168" fontId="20" fillId="3" borderId="0" xfId="3" applyNumberFormat="1" applyFont="1" applyFill="1" applyBorder="1" applyAlignment="1" applyProtection="1"/>
    <xf numFmtId="0" fontId="10" fillId="3" borderId="0" xfId="3" applyFill="1" applyProtection="1"/>
    <xf numFmtId="0" fontId="12" fillId="3" borderId="0" xfId="3" applyFont="1" applyFill="1" applyAlignment="1" applyProtection="1"/>
    <xf numFmtId="0" fontId="15" fillId="0" borderId="0" xfId="3" applyFont="1" applyFill="1" applyAlignment="1" applyProtection="1">
      <alignment horizontal="right"/>
    </xf>
    <xf numFmtId="173" fontId="21" fillId="3" borderId="0" xfId="3" applyNumberFormat="1" applyFont="1" applyFill="1" applyBorder="1" applyAlignment="1" applyProtection="1"/>
    <xf numFmtId="168" fontId="12" fillId="3" borderId="0" xfId="3" applyNumberFormat="1" applyFont="1" applyFill="1" applyAlignment="1" applyProtection="1"/>
    <xf numFmtId="0" fontId="15" fillId="3" borderId="0" xfId="3" applyFont="1" applyFill="1" applyBorder="1" applyAlignment="1" applyProtection="1"/>
    <xf numFmtId="0" fontId="37" fillId="3" borderId="0" xfId="3" applyFont="1" applyFill="1" applyAlignment="1" applyProtection="1"/>
    <xf numFmtId="0" fontId="15" fillId="3" borderId="0" xfId="3" applyFont="1" applyFill="1" applyAlignment="1" applyProtection="1"/>
    <xf numFmtId="0" fontId="15" fillId="3" borderId="0" xfId="3" applyFont="1" applyFill="1" applyBorder="1" applyAlignment="1" applyProtection="1">
      <alignment horizontal="center"/>
    </xf>
    <xf numFmtId="168" fontId="15" fillId="3" borderId="0" xfId="3" applyNumberFormat="1" applyFont="1" applyFill="1" applyBorder="1" applyAlignment="1" applyProtection="1">
      <alignment horizontal="center"/>
    </xf>
    <xf numFmtId="0" fontId="21" fillId="0" borderId="0" xfId="3" applyFont="1" applyFill="1" applyBorder="1" applyProtection="1"/>
    <xf numFmtId="0" fontId="21" fillId="0" borderId="0" xfId="3" applyFont="1" applyAlignment="1" applyProtection="1">
      <alignment vertical="center"/>
    </xf>
    <xf numFmtId="168" fontId="21" fillId="0" borderId="0" xfId="2" applyNumberFormat="1" applyFont="1" applyAlignment="1" applyProtection="1">
      <alignment vertical="center"/>
    </xf>
    <xf numFmtId="0" fontId="21" fillId="0" borderId="0" xfId="3" applyFont="1" applyBorder="1" applyProtection="1"/>
    <xf numFmtId="3" fontId="21" fillId="0" borderId="0" xfId="3" applyNumberFormat="1" applyFont="1" applyBorder="1" applyProtection="1"/>
    <xf numFmtId="168" fontId="21" fillId="0" borderId="0" xfId="3" applyNumberFormat="1" applyFont="1" applyAlignment="1" applyProtection="1">
      <alignment vertical="center"/>
    </xf>
    <xf numFmtId="9" fontId="21" fillId="0" borderId="0" xfId="3" applyNumberFormat="1" applyFont="1" applyAlignment="1" applyProtection="1">
      <alignment vertical="center"/>
    </xf>
    <xf numFmtId="0" fontId="15" fillId="0" borderId="0" xfId="3" applyFont="1" applyBorder="1" applyAlignment="1" applyProtection="1">
      <alignment horizontal="center" vertical="center"/>
    </xf>
    <xf numFmtId="0" fontId="20" fillId="3" borderId="0" xfId="3" applyFont="1" applyFill="1" applyBorder="1" applyAlignment="1">
      <alignment horizontal="right" vertical="center"/>
    </xf>
    <xf numFmtId="0" fontId="20" fillId="3" borderId="4" xfId="3" applyFont="1" applyFill="1" applyBorder="1" applyAlignment="1" applyProtection="1">
      <alignment vertical="center"/>
    </xf>
    <xf numFmtId="0" fontId="20" fillId="0" borderId="0" xfId="3" applyFont="1" applyBorder="1" applyAlignment="1" applyProtection="1">
      <alignment vertical="center"/>
    </xf>
    <xf numFmtId="0" fontId="20" fillId="3" borderId="0" xfId="3" applyFont="1" applyFill="1" applyBorder="1" applyAlignment="1" applyProtection="1">
      <alignment vertical="center"/>
    </xf>
    <xf numFmtId="0" fontId="21" fillId="3" borderId="0" xfId="3" applyFont="1" applyFill="1" applyBorder="1" applyAlignment="1" applyProtection="1">
      <alignment vertical="center"/>
    </xf>
    <xf numFmtId="166" fontId="21" fillId="3" borderId="276" xfId="3" applyNumberFormat="1" applyFont="1" applyFill="1" applyBorder="1" applyAlignment="1" applyProtection="1">
      <alignment horizontal="center" vertical="center"/>
      <protection locked="0"/>
    </xf>
    <xf numFmtId="165" fontId="21" fillId="3" borderId="276" xfId="3" applyNumberFormat="1" applyFont="1" applyFill="1" applyBorder="1" applyAlignment="1" applyProtection="1">
      <alignment horizontal="center" vertical="center"/>
    </xf>
    <xf numFmtId="166" fontId="21" fillId="3" borderId="276" xfId="3" applyNumberFormat="1" applyFont="1" applyFill="1" applyBorder="1" applyAlignment="1" applyProtection="1">
      <alignment horizontal="center" vertical="center"/>
    </xf>
    <xf numFmtId="168" fontId="21" fillId="3" borderId="276" xfId="2" applyNumberFormat="1" applyFont="1" applyFill="1" applyBorder="1" applyAlignment="1" applyProtection="1">
      <alignment horizontal="center" vertical="center"/>
    </xf>
    <xf numFmtId="166" fontId="21" fillId="3" borderId="0" xfId="3" applyNumberFormat="1" applyFont="1" applyFill="1" applyBorder="1" applyAlignment="1" applyProtection="1">
      <alignment horizontal="center" vertical="center"/>
    </xf>
    <xf numFmtId="165" fontId="21" fillId="3" borderId="0" xfId="3" applyNumberFormat="1" applyFont="1" applyFill="1" applyBorder="1" applyAlignment="1" applyProtection="1">
      <alignment horizontal="center" vertical="center"/>
    </xf>
    <xf numFmtId="168" fontId="21" fillId="3" borderId="0" xfId="2" applyNumberFormat="1" applyFont="1" applyFill="1" applyBorder="1" applyAlignment="1" applyProtection="1">
      <alignment horizontal="center" vertical="center"/>
    </xf>
    <xf numFmtId="166" fontId="20" fillId="3" borderId="9" xfId="3" applyNumberFormat="1" applyFont="1" applyFill="1" applyBorder="1" applyAlignment="1" applyProtection="1">
      <alignment horizontal="center" vertical="center"/>
    </xf>
    <xf numFmtId="0" fontId="21" fillId="0" borderId="0" xfId="3" applyFont="1" applyBorder="1" applyAlignment="1" applyProtection="1">
      <alignment vertical="center"/>
    </xf>
    <xf numFmtId="166" fontId="21" fillId="3" borderId="0" xfId="3" applyNumberFormat="1" applyFont="1" applyFill="1" applyBorder="1" applyAlignment="1" applyProtection="1">
      <alignment vertical="center"/>
    </xf>
    <xf numFmtId="0" fontId="20" fillId="3" borderId="0" xfId="3" applyFont="1" applyFill="1" applyBorder="1" applyAlignment="1" applyProtection="1">
      <alignment horizontal="center" vertical="center"/>
    </xf>
    <xf numFmtId="7" fontId="21" fillId="0" borderId="0" xfId="3" applyNumberFormat="1" applyFont="1" applyAlignment="1" applyProtection="1">
      <alignment vertical="center"/>
    </xf>
    <xf numFmtId="0" fontId="21" fillId="3" borderId="0" xfId="3" applyFont="1" applyFill="1" applyBorder="1" applyAlignment="1" applyProtection="1">
      <alignment horizontal="left" vertical="center"/>
    </xf>
    <xf numFmtId="7" fontId="21" fillId="3" borderId="0" xfId="1" applyNumberFormat="1" applyFont="1" applyFill="1" applyBorder="1" applyAlignment="1" applyProtection="1">
      <alignment horizontal="center" vertical="center"/>
      <protection locked="0"/>
    </xf>
    <xf numFmtId="7" fontId="21" fillId="3" borderId="0" xfId="3" applyNumberFormat="1" applyFont="1" applyFill="1" applyBorder="1" applyAlignment="1" applyProtection="1">
      <alignment horizontal="center" vertical="center"/>
    </xf>
    <xf numFmtId="0" fontId="27" fillId="3" borderId="0" xfId="3" applyFont="1" applyFill="1" applyBorder="1" applyAlignment="1" applyProtection="1">
      <alignment horizontal="right" vertical="center"/>
    </xf>
    <xf numFmtId="7" fontId="20" fillId="3" borderId="0" xfId="3" applyNumberFormat="1" applyFont="1" applyFill="1" applyBorder="1" applyAlignment="1" applyProtection="1">
      <alignment horizontal="center" vertical="center"/>
    </xf>
    <xf numFmtId="168" fontId="136" fillId="3" borderId="0" xfId="2" applyNumberFormat="1" applyFont="1" applyFill="1" applyBorder="1" applyAlignment="1" applyProtection="1">
      <alignment horizontal="center" vertical="center"/>
    </xf>
    <xf numFmtId="168" fontId="21" fillId="0" borderId="0" xfId="2" applyNumberFormat="1" applyFont="1" applyProtection="1"/>
    <xf numFmtId="0" fontId="59" fillId="0" borderId="0" xfId="0" applyFont="1" applyFill="1" applyBorder="1" applyAlignment="1" applyProtection="1"/>
    <xf numFmtId="0" fontId="34" fillId="3" borderId="0" xfId="3" applyFont="1" applyFill="1" applyBorder="1" applyAlignment="1" applyProtection="1">
      <alignment horizontal="center" vertical="center"/>
    </xf>
    <xf numFmtId="0" fontId="21" fillId="3" borderId="0" xfId="3" applyFont="1" applyFill="1" applyBorder="1" applyAlignment="1">
      <alignment horizontal="left" vertical="center"/>
    </xf>
    <xf numFmtId="173" fontId="21" fillId="3" borderId="0" xfId="3" applyNumberFormat="1" applyFont="1" applyFill="1" applyBorder="1" applyAlignment="1" applyProtection="1">
      <protection locked="0"/>
    </xf>
    <xf numFmtId="0" fontId="15" fillId="3" borderId="0" xfId="3" applyFont="1" applyFill="1" applyBorder="1" applyAlignment="1" applyProtection="1">
      <alignment horizontal="center" vertical="center"/>
    </xf>
    <xf numFmtId="168" fontId="15" fillId="0" borderId="0" xfId="3" applyNumberFormat="1" applyFont="1" applyBorder="1" applyAlignment="1" applyProtection="1">
      <alignment horizontal="center" vertical="center"/>
    </xf>
    <xf numFmtId="0" fontId="21" fillId="3" borderId="0" xfId="3" applyFont="1" applyFill="1" applyBorder="1" applyProtection="1"/>
    <xf numFmtId="0" fontId="12" fillId="3" borderId="0" xfId="3" applyFont="1" applyFill="1" applyBorder="1" applyAlignment="1" applyProtection="1"/>
    <xf numFmtId="0" fontId="82" fillId="3" borderId="0" xfId="0" applyFont="1" applyFill="1" applyBorder="1" applyAlignment="1">
      <alignment vertical="top" wrapText="1"/>
    </xf>
    <xf numFmtId="0" fontId="21" fillId="0" borderId="48" xfId="3" applyFont="1" applyBorder="1" applyProtection="1"/>
    <xf numFmtId="0" fontId="0" fillId="0" borderId="58" xfId="0" applyBorder="1" applyProtection="1"/>
    <xf numFmtId="0" fontId="135" fillId="0" borderId="0" xfId="3" applyFont="1" applyAlignment="1" applyProtection="1">
      <alignment vertical="top" wrapText="1"/>
      <protection locked="0"/>
    </xf>
    <xf numFmtId="0" fontId="135" fillId="3" borderId="0" xfId="3" applyFont="1" applyFill="1" applyBorder="1" applyAlignment="1" applyProtection="1">
      <alignment vertical="top" wrapText="1"/>
      <protection locked="0"/>
    </xf>
    <xf numFmtId="0" fontId="24" fillId="0" borderId="0" xfId="3" applyFont="1" applyBorder="1" applyAlignment="1" applyProtection="1"/>
    <xf numFmtId="0" fontId="138" fillId="0" borderId="0" xfId="3" applyFont="1" applyAlignment="1" applyProtection="1">
      <alignment horizontal="left" vertical="center"/>
    </xf>
    <xf numFmtId="0" fontId="137" fillId="0" borderId="0" xfId="3" applyFont="1" applyBorder="1" applyAlignment="1" applyProtection="1">
      <alignment horizontal="left" vertical="center"/>
    </xf>
    <xf numFmtId="0" fontId="34" fillId="3" borderId="0" xfId="3" applyFont="1" applyFill="1" applyBorder="1" applyAlignment="1">
      <alignment horizontal="center" vertical="center"/>
    </xf>
    <xf numFmtId="0" fontId="21" fillId="3" borderId="0" xfId="3" applyFont="1" applyFill="1" applyBorder="1" applyAlignment="1">
      <alignment vertical="center"/>
    </xf>
    <xf numFmtId="0" fontId="69" fillId="3" borderId="0" xfId="3" applyFont="1" applyFill="1" applyBorder="1" applyAlignment="1">
      <alignment horizontal="right" vertical="center"/>
    </xf>
    <xf numFmtId="0" fontId="58" fillId="3" borderId="0" xfId="3" applyFont="1" applyFill="1" applyBorder="1" applyAlignment="1">
      <alignment horizontal="right" vertical="center"/>
    </xf>
    <xf numFmtId="0" fontId="0" fillId="0" borderId="305" xfId="0" applyBorder="1"/>
    <xf numFmtId="0" fontId="15" fillId="0" borderId="0" xfId="3" applyFont="1" applyFill="1" applyBorder="1" applyAlignment="1" applyProtection="1">
      <alignment horizontal="right"/>
    </xf>
    <xf numFmtId="0" fontId="18" fillId="3" borderId="305" xfId="0" applyFont="1" applyFill="1" applyBorder="1" applyAlignment="1" applyProtection="1"/>
    <xf numFmtId="0" fontId="78" fillId="3" borderId="0" xfId="0" applyFont="1" applyFill="1" applyBorder="1" applyAlignment="1" applyProtection="1"/>
    <xf numFmtId="0" fontId="57" fillId="13" borderId="45" xfId="19" applyFont="1" applyFill="1" applyBorder="1" applyAlignment="1" applyProtection="1">
      <alignment horizontal="center" vertical="top" wrapText="1"/>
      <protection locked="0"/>
    </xf>
    <xf numFmtId="0" fontId="57" fillId="13" borderId="0" xfId="19" applyFont="1" applyFill="1" applyBorder="1" applyAlignment="1" applyProtection="1">
      <alignment horizontal="center" vertical="top" wrapText="1"/>
      <protection locked="0"/>
    </xf>
    <xf numFmtId="0" fontId="21" fillId="3" borderId="0" xfId="0" applyFont="1" applyFill="1" applyAlignment="1" applyProtection="1">
      <alignment horizontal="center"/>
    </xf>
    <xf numFmtId="0" fontId="21" fillId="0" borderId="0" xfId="0" applyFont="1" applyAlignment="1" applyProtection="1">
      <alignment horizontal="center"/>
    </xf>
    <xf numFmtId="0" fontId="0" fillId="0" borderId="0" xfId="0" applyBorder="1" applyProtection="1">
      <protection locked="0"/>
    </xf>
    <xf numFmtId="165" fontId="21" fillId="0" borderId="0" xfId="1" applyNumberFormat="1" applyFont="1" applyBorder="1" applyAlignment="1" applyProtection="1">
      <alignment horizontal="center" vertical="center"/>
      <protection locked="0"/>
    </xf>
    <xf numFmtId="14" fontId="21" fillId="0" borderId="0" xfId="0" applyNumberFormat="1" applyFont="1" applyBorder="1" applyAlignment="1" applyProtection="1">
      <alignment horizontal="center" vertical="center"/>
      <protection locked="0"/>
    </xf>
    <xf numFmtId="168" fontId="21" fillId="2" borderId="50" xfId="2" applyNumberFormat="1" applyFont="1" applyFill="1" applyBorder="1" applyAlignment="1" applyProtection="1">
      <alignment horizontal="center" vertical="center"/>
    </xf>
    <xf numFmtId="168" fontId="21" fillId="2" borderId="50" xfId="0" applyNumberFormat="1" applyFont="1" applyFill="1" applyBorder="1" applyAlignment="1" applyProtection="1">
      <alignment horizontal="center" vertical="center"/>
    </xf>
    <xf numFmtId="0" fontId="21" fillId="0" borderId="0" xfId="0" applyNumberFormat="1" applyFont="1" applyBorder="1" applyProtection="1">
      <protection locked="0"/>
    </xf>
    <xf numFmtId="165" fontId="21" fillId="2" borderId="50" xfId="0" applyNumberFormat="1" applyFont="1" applyFill="1" applyBorder="1" applyAlignment="1" applyProtection="1">
      <alignment horizontal="center" vertical="center"/>
    </xf>
    <xf numFmtId="165" fontId="21" fillId="0" borderId="226" xfId="0" applyNumberFormat="1" applyFont="1" applyBorder="1" applyAlignment="1" applyProtection="1">
      <alignment horizontal="center"/>
      <protection locked="0"/>
    </xf>
    <xf numFmtId="0" fontId="40" fillId="3" borderId="39" xfId="0" applyFont="1" applyFill="1" applyBorder="1" applyAlignment="1" applyProtection="1">
      <alignment vertical="center"/>
    </xf>
    <xf numFmtId="0" fontId="40" fillId="3" borderId="51" xfId="0" applyFont="1" applyFill="1" applyBorder="1" applyAlignment="1" applyProtection="1">
      <alignment vertical="center"/>
    </xf>
    <xf numFmtId="165" fontId="21" fillId="0" borderId="0" xfId="0" applyNumberFormat="1" applyFont="1" applyBorder="1" applyProtection="1">
      <protection locked="0"/>
    </xf>
    <xf numFmtId="0" fontId="21" fillId="0" borderId="0" xfId="0" applyNumberFormat="1" applyFont="1" applyBorder="1" applyAlignment="1" applyProtection="1">
      <alignment horizontal="center" vertical="center"/>
      <protection locked="0"/>
    </xf>
    <xf numFmtId="165" fontId="21" fillId="0" borderId="226" xfId="0" applyNumberFormat="1" applyFont="1" applyBorder="1" applyAlignment="1" applyProtection="1">
      <alignment horizontal="center" vertical="center"/>
      <protection locked="0"/>
    </xf>
    <xf numFmtId="1" fontId="21" fillId="0" borderId="0" xfId="0" applyNumberFormat="1" applyFont="1" applyBorder="1" applyAlignment="1" applyProtection="1">
      <alignment horizontal="center" vertical="center"/>
      <protection locked="0"/>
    </xf>
    <xf numFmtId="0" fontId="10" fillId="3" borderId="0" xfId="0" applyFont="1" applyFill="1" applyAlignment="1" applyProtection="1">
      <alignment horizontal="center"/>
    </xf>
    <xf numFmtId="0" fontId="40" fillId="3" borderId="38" xfId="0" applyFont="1" applyFill="1" applyBorder="1" applyAlignment="1" applyProtection="1">
      <alignment vertical="center"/>
    </xf>
    <xf numFmtId="0" fontId="141" fillId="3" borderId="0" xfId="0" applyFont="1" applyFill="1" applyBorder="1" applyAlignment="1" applyProtection="1">
      <alignment wrapText="1"/>
    </xf>
    <xf numFmtId="0" fontId="20" fillId="22" borderId="311" xfId="0" applyFont="1" applyFill="1" applyBorder="1" applyAlignment="1" applyProtection="1">
      <alignment horizontal="center" vertical="center"/>
    </xf>
    <xf numFmtId="0" fontId="34" fillId="3" borderId="39" xfId="0" applyFont="1" applyFill="1" applyBorder="1" applyAlignment="1" applyProtection="1">
      <alignment vertical="center"/>
    </xf>
    <xf numFmtId="165" fontId="21" fillId="21" borderId="19" xfId="0" applyNumberFormat="1" applyFont="1" applyFill="1" applyBorder="1" applyAlignment="1" applyProtection="1">
      <alignment horizontal="center" vertical="center"/>
    </xf>
    <xf numFmtId="174" fontId="88" fillId="0" borderId="39" xfId="0" applyNumberFormat="1" applyFont="1" applyFill="1" applyBorder="1" applyAlignment="1" applyProtection="1">
      <alignment horizontal="right" vertical="center"/>
    </xf>
    <xf numFmtId="0" fontId="20" fillId="21" borderId="19" xfId="0" applyFont="1" applyFill="1" applyBorder="1" applyAlignment="1" applyProtection="1">
      <alignment horizontal="center" vertical="center"/>
    </xf>
    <xf numFmtId="174" fontId="88" fillId="0" borderId="51" xfId="0" applyNumberFormat="1" applyFont="1" applyFill="1" applyBorder="1" applyAlignment="1" applyProtection="1">
      <alignment horizontal="right" vertical="center"/>
    </xf>
    <xf numFmtId="0" fontId="21" fillId="0" borderId="0" xfId="0" applyFont="1" applyAlignment="1" applyProtection="1">
      <alignment horizontal="left"/>
    </xf>
    <xf numFmtId="174" fontId="88" fillId="0" borderId="51" xfId="1" applyNumberFormat="1" applyFont="1" applyFill="1" applyBorder="1" applyAlignment="1" applyProtection="1">
      <alignment horizontal="right" vertical="center"/>
    </xf>
    <xf numFmtId="175" fontId="88" fillId="0" borderId="38" xfId="0" applyNumberFormat="1" applyFont="1" applyFill="1" applyBorder="1" applyAlignment="1" applyProtection="1">
      <alignment horizontal="right" vertical="center"/>
    </xf>
    <xf numFmtId="0" fontId="21" fillId="3" borderId="0" xfId="0" applyFont="1" applyFill="1" applyAlignment="1" applyProtection="1">
      <alignment horizontal="right"/>
    </xf>
    <xf numFmtId="0" fontId="57" fillId="3" borderId="39" xfId="0" applyFont="1" applyFill="1" applyBorder="1" applyAlignment="1" applyProtection="1">
      <alignment horizontal="right" vertical="center"/>
    </xf>
    <xf numFmtId="0" fontId="61" fillId="3" borderId="0" xfId="0" applyFont="1" applyFill="1" applyProtection="1"/>
    <xf numFmtId="0" fontId="57" fillId="3" borderId="38" xfId="0" applyFont="1" applyFill="1" applyBorder="1" applyAlignment="1" applyProtection="1">
      <alignment horizontal="right" vertical="center"/>
    </xf>
    <xf numFmtId="0" fontId="61" fillId="3" borderId="0" xfId="0" applyFont="1" applyFill="1" applyBorder="1" applyAlignment="1" applyProtection="1"/>
    <xf numFmtId="0" fontId="61" fillId="3" borderId="0" xfId="0" applyFont="1" applyFill="1" applyBorder="1" applyProtection="1"/>
    <xf numFmtId="0" fontId="75" fillId="3" borderId="47" xfId="0" applyFont="1" applyFill="1" applyBorder="1" applyAlignment="1" applyProtection="1">
      <alignment vertical="center"/>
    </xf>
    <xf numFmtId="0" fontId="57" fillId="3" borderId="0" xfId="0" applyFont="1" applyFill="1" applyBorder="1" applyAlignment="1" applyProtection="1">
      <alignment horizontal="center" vertical="top" wrapText="1"/>
    </xf>
    <xf numFmtId="0" fontId="15" fillId="3" borderId="0" xfId="0" applyNumberFormat="1" applyFont="1" applyFill="1" applyBorder="1" applyAlignment="1" applyProtection="1">
      <alignment vertical="top" wrapText="1"/>
    </xf>
    <xf numFmtId="0" fontId="10" fillId="3" borderId="0" xfId="0" applyNumberFormat="1" applyFont="1" applyFill="1" applyBorder="1" applyAlignment="1" applyProtection="1">
      <alignment vertical="top"/>
    </xf>
    <xf numFmtId="0" fontId="10" fillId="3" borderId="0" xfId="0" applyFont="1" applyFill="1" applyBorder="1" applyAlignment="1" applyProtection="1">
      <alignment vertical="top"/>
    </xf>
    <xf numFmtId="0" fontId="10" fillId="0" borderId="0" xfId="3" applyNumberFormat="1" applyBorder="1" applyProtection="1">
      <protection locked="0"/>
    </xf>
    <xf numFmtId="0" fontId="10" fillId="2" borderId="313" xfId="3" applyNumberFormat="1" applyFill="1" applyBorder="1" applyProtection="1">
      <protection locked="0"/>
    </xf>
    <xf numFmtId="0" fontId="10" fillId="2" borderId="314" xfId="3" applyNumberFormat="1" applyFill="1" applyBorder="1" applyProtection="1">
      <protection locked="0"/>
    </xf>
    <xf numFmtId="0" fontId="10" fillId="2" borderId="315" xfId="3" applyNumberFormat="1" applyFill="1" applyBorder="1" applyProtection="1">
      <protection locked="0"/>
    </xf>
    <xf numFmtId="0" fontId="10" fillId="2" borderId="316" xfId="3" applyNumberFormat="1" applyFill="1" applyBorder="1" applyProtection="1">
      <protection locked="0"/>
    </xf>
    <xf numFmtId="0" fontId="21" fillId="2" borderId="0" xfId="3" applyNumberFormat="1" applyFont="1" applyFill="1" applyBorder="1" applyAlignment="1" applyProtection="1">
      <alignment horizontal="right" vertical="center"/>
      <protection locked="0"/>
    </xf>
    <xf numFmtId="0" fontId="10" fillId="2" borderId="0" xfId="3" applyNumberFormat="1" applyFill="1" applyBorder="1" applyAlignment="1" applyProtection="1">
      <alignment vertical="center"/>
      <protection locked="0"/>
    </xf>
    <xf numFmtId="0" fontId="21" fillId="2" borderId="0" xfId="3" applyNumberFormat="1" applyFont="1" applyFill="1" applyBorder="1" applyAlignment="1" applyProtection="1">
      <alignment vertical="center"/>
      <protection locked="0"/>
    </xf>
    <xf numFmtId="0" fontId="21" fillId="2" borderId="317" xfId="3" applyNumberFormat="1" applyFont="1" applyFill="1" applyBorder="1" applyAlignment="1" applyProtection="1">
      <alignment vertical="center"/>
      <protection locked="0"/>
    </xf>
    <xf numFmtId="0" fontId="10" fillId="2" borderId="0" xfId="3" applyNumberFormat="1" applyFill="1" applyBorder="1" applyProtection="1">
      <protection locked="0"/>
    </xf>
    <xf numFmtId="0" fontId="21" fillId="2" borderId="0" xfId="3" applyNumberFormat="1" applyFont="1" applyFill="1" applyBorder="1" applyProtection="1">
      <protection locked="0"/>
    </xf>
    <xf numFmtId="0" fontId="10" fillId="2" borderId="317" xfId="3" applyNumberFormat="1" applyFill="1" applyBorder="1" applyProtection="1">
      <protection locked="0"/>
    </xf>
    <xf numFmtId="0" fontId="10" fillId="2" borderId="318" xfId="3" applyNumberFormat="1" applyFill="1" applyBorder="1" applyProtection="1">
      <protection locked="0"/>
    </xf>
    <xf numFmtId="0" fontId="21" fillId="2" borderId="11" xfId="3" applyNumberFormat="1" applyFont="1" applyFill="1" applyBorder="1" applyAlignment="1" applyProtection="1">
      <alignment vertical="center"/>
      <protection locked="0"/>
    </xf>
    <xf numFmtId="0" fontId="21" fillId="2" borderId="319" xfId="3" applyNumberFormat="1" applyFont="1" applyFill="1" applyBorder="1" applyAlignment="1" applyProtection="1">
      <alignment vertical="center"/>
      <protection locked="0"/>
    </xf>
    <xf numFmtId="0" fontId="21" fillId="0" borderId="0" xfId="3" applyNumberFormat="1" applyFont="1" applyBorder="1" applyProtection="1">
      <protection locked="0"/>
    </xf>
    <xf numFmtId="0" fontId="21" fillId="0" borderId="0" xfId="3" applyNumberFormat="1" applyFont="1" applyBorder="1" applyAlignment="1" applyProtection="1">
      <alignment vertical="center"/>
      <protection locked="0"/>
    </xf>
    <xf numFmtId="0" fontId="15" fillId="0" borderId="0" xfId="3" applyNumberFormat="1" applyFont="1" applyBorder="1" applyAlignment="1" applyProtection="1">
      <alignment horizontal="center" vertical="center"/>
      <protection locked="0"/>
    </xf>
    <xf numFmtId="0" fontId="15" fillId="0" borderId="0" xfId="3" applyNumberFormat="1" applyFont="1" applyBorder="1" applyAlignment="1" applyProtection="1">
      <alignment vertical="center"/>
      <protection locked="0"/>
    </xf>
    <xf numFmtId="0" fontId="10" fillId="2" borderId="11" xfId="3" applyNumberFormat="1" applyFill="1" applyBorder="1" applyProtection="1">
      <protection locked="0"/>
    </xf>
    <xf numFmtId="0" fontId="15" fillId="2" borderId="319" xfId="3" applyNumberFormat="1" applyFont="1" applyFill="1" applyBorder="1" applyProtection="1">
      <protection locked="0"/>
    </xf>
    <xf numFmtId="0" fontId="10" fillId="0" borderId="0" xfId="3" applyNumberFormat="1" applyFill="1" applyBorder="1" applyProtection="1">
      <protection locked="0"/>
    </xf>
    <xf numFmtId="0" fontId="15" fillId="0" borderId="0" xfId="3" applyNumberFormat="1" applyFont="1" applyFill="1" applyBorder="1" applyProtection="1">
      <protection locked="0"/>
    </xf>
    <xf numFmtId="0" fontId="10" fillId="2" borderId="0" xfId="3" applyNumberFormat="1" applyFill="1" applyBorder="1" applyAlignment="1" applyProtection="1">
      <alignment horizontal="center" vertical="center"/>
      <protection locked="0"/>
    </xf>
    <xf numFmtId="0" fontId="21" fillId="2" borderId="317" xfId="3" applyNumberFormat="1" applyFont="1" applyFill="1" applyBorder="1" applyAlignment="1" applyProtection="1">
      <alignment horizontal="right" vertical="center"/>
      <protection locked="0"/>
    </xf>
    <xf numFmtId="0" fontId="10" fillId="2" borderId="319" xfId="3" applyNumberFormat="1" applyFill="1" applyBorder="1" applyProtection="1">
      <protection locked="0"/>
    </xf>
    <xf numFmtId="0" fontId="15" fillId="0" borderId="0" xfId="3" applyNumberFormat="1" applyFont="1" applyBorder="1" applyProtection="1">
      <protection locked="0"/>
    </xf>
    <xf numFmtId="0" fontId="32" fillId="0" borderId="0" xfId="4" quotePrefix="1" applyNumberFormat="1"/>
    <xf numFmtId="0" fontId="10" fillId="0" borderId="0" xfId="147"/>
    <xf numFmtId="0" fontId="10" fillId="0" borderId="0" xfId="3" applyNumberFormat="1" applyBorder="1" applyProtection="1"/>
    <xf numFmtId="0" fontId="21" fillId="0" borderId="0" xfId="3" applyNumberFormat="1" applyFont="1" applyBorder="1" applyAlignment="1" applyProtection="1">
      <alignment vertical="center"/>
    </xf>
    <xf numFmtId="0" fontId="21" fillId="0" borderId="328" xfId="3" applyNumberFormat="1" applyFont="1" applyFill="1" applyBorder="1" applyAlignment="1" applyProtection="1">
      <alignment horizontal="center" vertical="center"/>
    </xf>
    <xf numFmtId="9" fontId="21" fillId="0" borderId="328" xfId="3" applyNumberFormat="1" applyFont="1" applyFill="1" applyBorder="1" applyAlignment="1" applyProtection="1">
      <alignment horizontal="center" vertical="center"/>
    </xf>
    <xf numFmtId="49" fontId="10" fillId="0" borderId="0" xfId="3" applyNumberFormat="1" applyBorder="1" applyAlignment="1" applyProtection="1">
      <alignment horizontal="right"/>
      <protection locked="0"/>
    </xf>
    <xf numFmtId="1" fontId="21" fillId="0" borderId="329" xfId="3" applyNumberFormat="1" applyFont="1" applyFill="1" applyBorder="1" applyAlignment="1" applyProtection="1">
      <alignment horizontal="center" vertical="center"/>
    </xf>
    <xf numFmtId="0" fontId="21" fillId="29" borderId="329" xfId="3" applyNumberFormat="1" applyFont="1" applyFill="1" applyBorder="1" applyAlignment="1" applyProtection="1">
      <alignment horizontal="center" vertical="center"/>
    </xf>
    <xf numFmtId="9" fontId="21" fillId="0" borderId="329" xfId="3" applyNumberFormat="1" applyFont="1" applyFill="1" applyBorder="1" applyAlignment="1" applyProtection="1">
      <alignment horizontal="center" vertical="center"/>
    </xf>
    <xf numFmtId="0" fontId="20" fillId="27" borderId="0" xfId="3" applyNumberFormat="1" applyFont="1" applyFill="1" applyBorder="1" applyAlignment="1" applyProtection="1">
      <alignment horizontal="right" vertical="center"/>
    </xf>
    <xf numFmtId="0" fontId="21" fillId="0" borderId="1" xfId="3" applyNumberFormat="1" applyFont="1" applyBorder="1" applyAlignment="1" applyProtection="1">
      <alignment horizontal="center" vertical="center"/>
      <protection locked="0"/>
    </xf>
    <xf numFmtId="0" fontId="21" fillId="0" borderId="329" xfId="3" applyNumberFormat="1" applyFont="1" applyFill="1" applyBorder="1" applyAlignment="1" applyProtection="1">
      <alignment horizontal="center" vertical="center"/>
    </xf>
    <xf numFmtId="176" fontId="21" fillId="0" borderId="329" xfId="3" applyNumberFormat="1" applyFont="1" applyFill="1" applyBorder="1" applyAlignment="1" applyProtection="1">
      <alignment horizontal="center" vertical="center"/>
    </xf>
    <xf numFmtId="0" fontId="21" fillId="0" borderId="0" xfId="3" applyNumberFormat="1" applyFont="1" applyBorder="1" applyAlignment="1" applyProtection="1">
      <alignment horizontal="left" vertical="top" wrapText="1"/>
      <protection locked="0"/>
    </xf>
    <xf numFmtId="1" fontId="10" fillId="0" borderId="0" xfId="3" applyNumberFormat="1" applyFill="1" applyBorder="1" applyAlignment="1" applyProtection="1">
      <alignment horizontal="center"/>
    </xf>
    <xf numFmtId="49" fontId="10" fillId="0" borderId="0" xfId="3" applyNumberFormat="1" applyBorder="1" applyAlignment="1" applyProtection="1">
      <alignment horizontal="right" vertical="center"/>
      <protection locked="0"/>
    </xf>
    <xf numFmtId="0" fontId="10" fillId="0" borderId="0" xfId="3" applyNumberFormat="1" applyBorder="1" applyAlignment="1" applyProtection="1">
      <alignment vertical="center"/>
      <protection locked="0"/>
    </xf>
    <xf numFmtId="0" fontId="21" fillId="0" borderId="330" xfId="3" applyNumberFormat="1" applyFont="1" applyFill="1" applyBorder="1" applyAlignment="1" applyProtection="1">
      <alignment horizontal="center" vertical="center"/>
    </xf>
    <xf numFmtId="1" fontId="21" fillId="0" borderId="331" xfId="3" applyNumberFormat="1" applyFont="1" applyFill="1" applyBorder="1" applyAlignment="1" applyProtection="1">
      <alignment horizontal="center" vertical="center"/>
    </xf>
    <xf numFmtId="9" fontId="21" fillId="0" borderId="330" xfId="3" applyNumberFormat="1" applyFont="1" applyFill="1" applyBorder="1" applyAlignment="1" applyProtection="1">
      <alignment horizontal="center" vertical="center"/>
    </xf>
    <xf numFmtId="49" fontId="21" fillId="0" borderId="0" xfId="3" applyNumberFormat="1" applyFont="1" applyBorder="1" applyAlignment="1" applyProtection="1">
      <alignment horizontal="right" vertical="center"/>
      <protection locked="0"/>
    </xf>
    <xf numFmtId="0" fontId="20" fillId="27" borderId="0" xfId="3" applyNumberFormat="1" applyFont="1" applyFill="1" applyBorder="1" applyAlignment="1" applyProtection="1">
      <alignment vertical="top"/>
      <protection locked="0"/>
    </xf>
    <xf numFmtId="0" fontId="20" fillId="0" borderId="0" xfId="3" applyNumberFormat="1" applyFont="1" applyBorder="1" applyAlignment="1" applyProtection="1">
      <alignment horizontal="right"/>
      <protection locked="0"/>
    </xf>
    <xf numFmtId="10" fontId="15" fillId="0" borderId="0" xfId="3" applyNumberFormat="1" applyFont="1" applyBorder="1" applyAlignment="1" applyProtection="1">
      <alignment horizontal="left"/>
    </xf>
    <xf numFmtId="0" fontId="10" fillId="3" borderId="0" xfId="3" applyNumberFormat="1" applyFill="1" applyBorder="1" applyProtection="1">
      <protection locked="0"/>
    </xf>
    <xf numFmtId="0" fontId="10" fillId="27" borderId="0" xfId="3" applyNumberFormat="1" applyFill="1" applyBorder="1" applyProtection="1">
      <protection locked="0"/>
    </xf>
    <xf numFmtId="0" fontId="10" fillId="27" borderId="0" xfId="3" applyNumberFormat="1" applyFill="1" applyBorder="1" applyAlignment="1" applyProtection="1">
      <alignment vertical="top"/>
      <protection locked="0"/>
    </xf>
    <xf numFmtId="0" fontId="10" fillId="3" borderId="0" xfId="3" applyNumberFormat="1" applyFill="1" applyBorder="1" applyAlignment="1" applyProtection="1">
      <alignment vertical="center"/>
      <protection locked="0"/>
    </xf>
    <xf numFmtId="0" fontId="10" fillId="3" borderId="314" xfId="3" applyNumberFormat="1" applyFill="1" applyBorder="1" applyProtection="1">
      <protection locked="0"/>
    </xf>
    <xf numFmtId="0" fontId="10" fillId="3" borderId="314" xfId="3" applyFill="1" applyBorder="1"/>
    <xf numFmtId="0" fontId="20" fillId="3" borderId="0" xfId="3" quotePrefix="1" applyNumberFormat="1" applyFont="1" applyFill="1" applyBorder="1" applyAlignment="1" applyProtection="1">
      <alignment horizontal="center"/>
      <protection locked="0"/>
    </xf>
    <xf numFmtId="0" fontId="20" fillId="0" borderId="0" xfId="3" quotePrefix="1" applyNumberFormat="1" applyFont="1" applyFill="1" applyBorder="1" applyAlignment="1" applyProtection="1">
      <alignment horizontal="center"/>
    </xf>
    <xf numFmtId="0" fontId="20" fillId="28" borderId="327" xfId="3" quotePrefix="1" applyNumberFormat="1" applyFont="1" applyFill="1" applyBorder="1" applyAlignment="1" applyProtection="1">
      <alignment horizontal="center"/>
    </xf>
    <xf numFmtId="0" fontId="21" fillId="0" borderId="0" xfId="3" applyNumberFormat="1" applyFont="1" applyBorder="1" applyAlignment="1" applyProtection="1">
      <alignment horizontal="right"/>
      <protection locked="0"/>
    </xf>
    <xf numFmtId="0" fontId="20" fillId="0" borderId="0" xfId="3" applyNumberFormat="1" applyFont="1" applyBorder="1" applyProtection="1">
      <protection locked="0"/>
    </xf>
    <xf numFmtId="168" fontId="21" fillId="0" borderId="0" xfId="3" applyNumberFormat="1" applyFont="1" applyBorder="1" applyAlignment="1" applyProtection="1">
      <alignment horizontal="center"/>
      <protection locked="0"/>
    </xf>
    <xf numFmtId="0" fontId="21" fillId="0" borderId="0" xfId="3" applyNumberFormat="1" applyFont="1" applyBorder="1" applyProtection="1"/>
    <xf numFmtId="5" fontId="21" fillId="0" borderId="0" xfId="3" applyNumberFormat="1" applyFont="1" applyBorder="1" applyProtection="1"/>
    <xf numFmtId="5" fontId="21" fillId="0" borderId="0" xfId="3" applyNumberFormat="1" applyFont="1" applyBorder="1" applyAlignment="1" applyProtection="1">
      <alignment horizontal="right"/>
    </xf>
    <xf numFmtId="5" fontId="21" fillId="0" borderId="0" xfId="3" applyNumberFormat="1" applyFont="1" applyBorder="1" applyProtection="1">
      <protection locked="0"/>
    </xf>
    <xf numFmtId="5" fontId="21" fillId="0" borderId="0" xfId="3" applyNumberFormat="1" applyFont="1" applyBorder="1" applyAlignment="1" applyProtection="1">
      <alignment horizontal="center"/>
      <protection locked="0"/>
    </xf>
    <xf numFmtId="0" fontId="21" fillId="0" borderId="0" xfId="3" applyNumberFormat="1" applyFont="1" applyBorder="1" applyAlignment="1" applyProtection="1">
      <alignment horizontal="center"/>
      <protection locked="0"/>
    </xf>
    <xf numFmtId="0" fontId="142" fillId="0" borderId="0" xfId="4" quotePrefix="1" applyNumberFormat="1" applyFont="1" applyAlignment="1">
      <alignment vertical="center"/>
    </xf>
    <xf numFmtId="2" fontId="21" fillId="0" borderId="0" xfId="3" applyNumberFormat="1" applyFont="1" applyBorder="1" applyAlignment="1" applyProtection="1">
      <alignment vertical="center"/>
      <protection locked="0"/>
    </xf>
    <xf numFmtId="168" fontId="21" fillId="0" borderId="1" xfId="3" applyNumberFormat="1" applyFont="1" applyFill="1" applyBorder="1" applyAlignment="1" applyProtection="1">
      <alignment horizontal="center" vertical="center"/>
    </xf>
    <xf numFmtId="5" fontId="21" fillId="0" borderId="1" xfId="3" applyNumberFormat="1" applyFont="1" applyFill="1" applyBorder="1" applyAlignment="1" applyProtection="1">
      <alignment horizontal="center" vertical="center"/>
    </xf>
    <xf numFmtId="165" fontId="21" fillId="2" borderId="1" xfId="3" applyNumberFormat="1" applyFont="1" applyFill="1" applyBorder="1" applyAlignment="1" applyProtection="1">
      <alignment horizontal="center" vertical="center"/>
    </xf>
    <xf numFmtId="1" fontId="21" fillId="2" borderId="1" xfId="3" applyNumberFormat="1" applyFont="1" applyFill="1" applyBorder="1" applyAlignment="1" applyProtection="1">
      <alignment horizontal="center" vertical="center"/>
    </xf>
    <xf numFmtId="5" fontId="21" fillId="2" borderId="1" xfId="3" applyNumberFormat="1" applyFont="1" applyFill="1" applyBorder="1" applyAlignment="1" applyProtection="1">
      <alignment horizontal="center" vertical="center"/>
    </xf>
    <xf numFmtId="14" fontId="21" fillId="2" borderId="1" xfId="3" applyNumberFormat="1" applyFont="1" applyFill="1" applyBorder="1" applyAlignment="1" applyProtection="1">
      <alignment horizontal="center" vertical="center"/>
    </xf>
    <xf numFmtId="5" fontId="21" fillId="0" borderId="1" xfId="3" applyNumberFormat="1" applyFont="1" applyBorder="1" applyAlignment="1" applyProtection="1">
      <alignment horizontal="center" vertical="center"/>
    </xf>
    <xf numFmtId="168" fontId="21" fillId="2" borderId="1" xfId="3" applyNumberFormat="1" applyFont="1" applyFill="1" applyBorder="1" applyAlignment="1" applyProtection="1">
      <alignment horizontal="center" vertical="center"/>
    </xf>
    <xf numFmtId="0" fontId="16" fillId="2" borderId="1" xfId="3" applyNumberFormat="1" applyFont="1" applyFill="1" applyBorder="1" applyAlignment="1" applyProtection="1">
      <alignment horizontal="center"/>
    </xf>
    <xf numFmtId="0" fontId="21" fillId="0" borderId="0" xfId="3" applyNumberFormat="1" applyFont="1" applyFill="1" applyBorder="1" applyAlignment="1" applyProtection="1">
      <alignment vertical="center"/>
      <protection locked="0"/>
    </xf>
    <xf numFmtId="0" fontId="10" fillId="0" borderId="0" xfId="3" applyNumberFormat="1" applyBorder="1" applyAlignment="1" applyProtection="1">
      <alignment horizontal="left"/>
      <protection locked="0"/>
    </xf>
    <xf numFmtId="1" fontId="21" fillId="0" borderId="0" xfId="3" applyNumberFormat="1" applyFont="1" applyBorder="1" applyAlignment="1" applyProtection="1">
      <alignment vertical="center"/>
      <protection locked="0"/>
    </xf>
    <xf numFmtId="2" fontId="10" fillId="0" borderId="0" xfId="3" applyNumberFormat="1" applyBorder="1" applyProtection="1">
      <protection locked="0"/>
    </xf>
    <xf numFmtId="0" fontId="36" fillId="17" borderId="5" xfId="3" applyNumberFormat="1" applyFont="1" applyFill="1" applyBorder="1" applyAlignment="1" applyProtection="1">
      <alignment horizontal="center" vertical="center" wrapText="1"/>
      <protection locked="0"/>
    </xf>
    <xf numFmtId="0" fontId="36" fillId="17" borderId="2" xfId="3" applyNumberFormat="1" applyFont="1" applyFill="1" applyBorder="1" applyAlignment="1" applyProtection="1">
      <alignment horizontal="center" vertical="center" wrapText="1"/>
      <protection locked="0"/>
    </xf>
    <xf numFmtId="0" fontId="10" fillId="0" borderId="0" xfId="3" applyNumberFormat="1" applyBorder="1" applyAlignment="1" applyProtection="1">
      <alignment horizontal="center"/>
      <protection locked="0"/>
    </xf>
    <xf numFmtId="0" fontId="20" fillId="3" borderId="0" xfId="3" applyNumberFormat="1" applyFont="1" applyFill="1" applyBorder="1" applyAlignment="1" applyProtection="1">
      <alignment horizontal="right" vertical="center"/>
    </xf>
    <xf numFmtId="0" fontId="21" fillId="3" borderId="0" xfId="3" applyNumberFormat="1" applyFont="1" applyFill="1" applyBorder="1" applyAlignment="1" applyProtection="1">
      <alignment vertical="center"/>
    </xf>
    <xf numFmtId="0" fontId="21" fillId="0" borderId="0" xfId="3" applyFont="1" applyAlignment="1">
      <alignment vertical="center"/>
    </xf>
    <xf numFmtId="0" fontId="21" fillId="0" borderId="0" xfId="3" applyNumberFormat="1" applyFont="1" applyFill="1" applyBorder="1" applyProtection="1">
      <protection locked="0"/>
    </xf>
    <xf numFmtId="14" fontId="143" fillId="0" borderId="0" xfId="3" applyNumberFormat="1" applyFont="1" applyFill="1" applyBorder="1" applyAlignment="1" applyProtection="1">
      <alignment horizontal="left"/>
      <protection locked="0"/>
    </xf>
    <xf numFmtId="0" fontId="15" fillId="0" borderId="0" xfId="3" quotePrefix="1" applyNumberFormat="1" applyFont="1" applyFill="1" applyBorder="1" applyAlignment="1" applyProtection="1">
      <alignment horizontal="right"/>
      <protection locked="0"/>
    </xf>
    <xf numFmtId="0" fontId="10" fillId="0" borderId="0" xfId="3" applyNumberFormat="1" applyFont="1" applyBorder="1" applyProtection="1">
      <protection locked="0"/>
    </xf>
    <xf numFmtId="0" fontId="20" fillId="0" borderId="0" xfId="3" quotePrefix="1" applyNumberFormat="1" applyFont="1" applyFill="1" applyBorder="1" applyAlignment="1" applyProtection="1">
      <alignment horizontal="right" vertical="center"/>
      <protection locked="0"/>
    </xf>
    <xf numFmtId="0" fontId="20" fillId="0" borderId="0" xfId="3" applyNumberFormat="1" applyFont="1" applyBorder="1" applyAlignment="1" applyProtection="1">
      <alignment horizontal="right" vertical="center"/>
      <protection locked="0"/>
    </xf>
    <xf numFmtId="49" fontId="10" fillId="0" borderId="0" xfId="3" applyNumberFormat="1" applyBorder="1" applyProtection="1">
      <protection locked="0"/>
    </xf>
    <xf numFmtId="5" fontId="21" fillId="0" borderId="0" xfId="3" applyNumberFormat="1" applyFont="1" applyBorder="1" applyAlignment="1" applyProtection="1">
      <alignment vertical="center"/>
      <protection locked="0"/>
    </xf>
    <xf numFmtId="0" fontId="144" fillId="0" borderId="0" xfId="3" applyNumberFormat="1" applyFont="1" applyBorder="1" applyProtection="1">
      <protection locked="0"/>
    </xf>
    <xf numFmtId="0" fontId="144" fillId="0" borderId="0" xfId="3" applyNumberFormat="1" applyFont="1" applyBorder="1" applyProtection="1"/>
    <xf numFmtId="5" fontId="144" fillId="0" borderId="0" xfId="3" quotePrefix="1" applyNumberFormat="1" applyFont="1" applyBorder="1" applyAlignment="1" applyProtection="1">
      <alignment horizontal="left"/>
    </xf>
    <xf numFmtId="5" fontId="144" fillId="0" borderId="0" xfId="3" applyNumberFormat="1" applyFont="1" applyBorder="1" applyAlignment="1" applyProtection="1">
      <alignment horizontal="center"/>
    </xf>
    <xf numFmtId="5" fontId="144" fillId="0" borderId="0" xfId="3" applyNumberFormat="1" applyFont="1" applyFill="1" applyBorder="1" applyAlignment="1" applyProtection="1">
      <alignment horizontal="center"/>
    </xf>
    <xf numFmtId="0" fontId="144" fillId="0" borderId="0" xfId="3" applyNumberFormat="1" applyFont="1" applyFill="1" applyBorder="1" applyAlignment="1" applyProtection="1">
      <alignment horizontal="right"/>
    </xf>
    <xf numFmtId="0" fontId="39" fillId="0" borderId="0" xfId="3" applyNumberFormat="1" applyFont="1" applyBorder="1" applyProtection="1">
      <protection locked="0"/>
    </xf>
    <xf numFmtId="179" fontId="145" fillId="0" borderId="0" xfId="3" quotePrefix="1" applyNumberFormat="1" applyFont="1" applyBorder="1" applyAlignment="1" applyProtection="1"/>
    <xf numFmtId="5" fontId="21" fillId="2" borderId="24" xfId="3" applyNumberFormat="1" applyFont="1" applyFill="1" applyBorder="1" applyAlignment="1" applyProtection="1">
      <alignment horizontal="center" vertical="center"/>
    </xf>
    <xf numFmtId="5" fontId="21" fillId="2" borderId="23" xfId="3" applyNumberFormat="1" applyFont="1" applyFill="1" applyBorder="1" applyAlignment="1" applyProtection="1">
      <alignment horizontal="center" vertical="center"/>
    </xf>
    <xf numFmtId="5" fontId="21" fillId="2" borderId="33" xfId="3" applyNumberFormat="1" applyFont="1" applyFill="1" applyBorder="1" applyAlignment="1" applyProtection="1">
      <alignment horizontal="center" vertical="center"/>
    </xf>
    <xf numFmtId="5" fontId="21" fillId="2" borderId="25" xfId="3" applyNumberFormat="1" applyFont="1" applyFill="1" applyBorder="1" applyAlignment="1" applyProtection="1">
      <alignment horizontal="center" vertical="center"/>
    </xf>
    <xf numFmtId="180" fontId="107" fillId="0" borderId="19" xfId="3" applyNumberFormat="1" applyFont="1" applyFill="1" applyBorder="1" applyAlignment="1" applyProtection="1"/>
    <xf numFmtId="180" fontId="145" fillId="3" borderId="0" xfId="3" applyNumberFormat="1" applyFont="1" applyFill="1" applyBorder="1" applyAlignment="1" applyProtection="1">
      <alignment horizontal="right"/>
    </xf>
    <xf numFmtId="180" fontId="107" fillId="3" borderId="19" xfId="3" applyNumberFormat="1" applyFont="1" applyFill="1" applyBorder="1" applyAlignment="1" applyProtection="1"/>
    <xf numFmtId="5" fontId="21" fillId="2" borderId="23" xfId="3" quotePrefix="1" applyNumberFormat="1" applyFont="1" applyFill="1" applyBorder="1" applyAlignment="1" applyProtection="1">
      <alignment horizontal="center" vertical="center"/>
    </xf>
    <xf numFmtId="5" fontId="21" fillId="0" borderId="0" xfId="3" quotePrefix="1" applyNumberFormat="1" applyFont="1" applyBorder="1" applyAlignment="1" applyProtection="1"/>
    <xf numFmtId="5" fontId="21" fillId="0" borderId="0" xfId="3" applyNumberFormat="1" applyFont="1" applyBorder="1" applyAlignment="1" applyProtection="1"/>
    <xf numFmtId="181" fontId="21" fillId="0" borderId="0" xfId="3" applyNumberFormat="1" applyFont="1" applyBorder="1" applyAlignment="1" applyProtection="1"/>
    <xf numFmtId="2" fontId="144" fillId="0" borderId="0" xfId="3" applyNumberFormat="1" applyFont="1" applyBorder="1" applyProtection="1">
      <protection locked="0"/>
    </xf>
    <xf numFmtId="10" fontId="144" fillId="0" borderId="0" xfId="3" applyNumberFormat="1" applyFont="1" applyBorder="1" applyProtection="1">
      <protection locked="0"/>
    </xf>
    <xf numFmtId="5" fontId="144" fillId="0" borderId="0" xfId="3" applyNumberFormat="1" applyFont="1" applyBorder="1" applyAlignment="1" applyProtection="1">
      <alignment horizontal="center"/>
      <protection locked="0"/>
    </xf>
    <xf numFmtId="5" fontId="144" fillId="0" borderId="0" xfId="3" applyNumberFormat="1" applyFont="1" applyBorder="1" applyAlignment="1" applyProtection="1">
      <alignment horizontal="left"/>
    </xf>
    <xf numFmtId="0" fontId="146" fillId="0" borderId="0" xfId="3" applyNumberFormat="1" applyFont="1" applyBorder="1" applyProtection="1">
      <protection locked="0"/>
    </xf>
    <xf numFmtId="165" fontId="21" fillId="2" borderId="26" xfId="3" applyNumberFormat="1" applyFont="1" applyFill="1" applyBorder="1" applyAlignment="1" applyProtection="1">
      <alignment horizontal="center"/>
    </xf>
    <xf numFmtId="165" fontId="21" fillId="2" borderId="25" xfId="3" applyNumberFormat="1" applyFont="1" applyFill="1" applyBorder="1" applyAlignment="1" applyProtection="1">
      <alignment horizontal="center"/>
    </xf>
    <xf numFmtId="165" fontId="21" fillId="2" borderId="40" xfId="3" applyNumberFormat="1" applyFont="1" applyFill="1" applyBorder="1" applyAlignment="1" applyProtection="1">
      <alignment horizontal="center"/>
    </xf>
    <xf numFmtId="0" fontId="147" fillId="0" borderId="0" xfId="3" applyNumberFormat="1" applyFont="1" applyBorder="1" applyProtection="1">
      <protection locked="0"/>
    </xf>
    <xf numFmtId="0" fontId="147" fillId="0" borderId="0" xfId="3" applyNumberFormat="1" applyFont="1" applyBorder="1" applyProtection="1"/>
    <xf numFmtId="0" fontId="148" fillId="0" borderId="0" xfId="3" applyNumberFormat="1" applyFont="1" applyBorder="1" applyProtection="1"/>
    <xf numFmtId="0" fontId="148" fillId="0" borderId="0" xfId="3" applyNumberFormat="1" applyFont="1" applyBorder="1" applyProtection="1">
      <protection locked="0"/>
    </xf>
    <xf numFmtId="0" fontId="149" fillId="0" borderId="0" xfId="3" applyNumberFormat="1" applyFont="1" applyBorder="1" applyProtection="1">
      <protection locked="0"/>
    </xf>
    <xf numFmtId="0" fontId="10" fillId="0" borderId="0" xfId="3" applyNumberFormat="1" applyFont="1" applyFill="1" applyBorder="1" applyProtection="1">
      <protection locked="0"/>
    </xf>
    <xf numFmtId="0" fontId="20" fillId="0" borderId="0" xfId="3" applyNumberFormat="1" applyFont="1" applyFill="1" applyBorder="1" applyProtection="1">
      <protection locked="0"/>
    </xf>
    <xf numFmtId="0" fontId="57" fillId="0" borderId="0" xfId="3" applyNumberFormat="1" applyFont="1" applyBorder="1" applyProtection="1">
      <protection locked="0"/>
    </xf>
    <xf numFmtId="0" fontId="10" fillId="0" borderId="0" xfId="3" quotePrefix="1" applyNumberFormat="1" applyFont="1" applyBorder="1" applyAlignment="1" applyProtection="1">
      <alignment horizontal="left"/>
      <protection locked="0"/>
    </xf>
    <xf numFmtId="0" fontId="21" fillId="0" borderId="0" xfId="3" quotePrefix="1" applyNumberFormat="1" applyFont="1" applyBorder="1" applyAlignment="1" applyProtection="1">
      <alignment horizontal="left" vertical="top" wrapText="1"/>
      <protection locked="0"/>
    </xf>
    <xf numFmtId="184" fontId="69" fillId="3" borderId="161" xfId="2" applyNumberFormat="1" applyFont="1" applyFill="1" applyBorder="1" applyAlignment="1" applyProtection="1">
      <alignment horizontal="center" vertical="center"/>
      <protection locked="0"/>
    </xf>
    <xf numFmtId="0" fontId="57" fillId="13" borderId="22" xfId="19" applyFont="1" applyFill="1" applyBorder="1" applyAlignment="1" applyProtection="1">
      <alignment horizontal="center" vertical="top" wrapText="1"/>
      <protection locked="0"/>
    </xf>
    <xf numFmtId="0" fontId="34" fillId="30" borderId="37" xfId="0" applyFont="1" applyFill="1" applyBorder="1" applyAlignment="1" applyProtection="1">
      <alignment horizontal="center" vertical="center" wrapText="1"/>
    </xf>
    <xf numFmtId="0" fontId="34" fillId="30" borderId="43" xfId="0" applyFont="1" applyFill="1" applyBorder="1" applyAlignment="1" applyProtection="1">
      <alignment horizontal="center" vertical="center"/>
    </xf>
    <xf numFmtId="0" fontId="34" fillId="30" borderId="43" xfId="0" applyFont="1" applyFill="1" applyBorder="1" applyAlignment="1" applyProtection="1">
      <alignment horizontal="center" vertical="center" wrapText="1"/>
    </xf>
    <xf numFmtId="0" fontId="34" fillId="30" borderId="42" xfId="0" applyFont="1" applyFill="1" applyBorder="1" applyAlignment="1" applyProtection="1">
      <alignment horizontal="center" vertical="center" wrapText="1"/>
    </xf>
    <xf numFmtId="0" fontId="34" fillId="30" borderId="38" xfId="0" applyFont="1" applyFill="1" applyBorder="1" applyAlignment="1" applyProtection="1">
      <alignment horizontal="center" vertical="center"/>
    </xf>
    <xf numFmtId="0" fontId="34" fillId="30" borderId="51" xfId="0" applyFont="1" applyFill="1" applyBorder="1" applyAlignment="1" applyProtection="1">
      <alignment horizontal="center" vertical="center"/>
    </xf>
    <xf numFmtId="0" fontId="34" fillId="30" borderId="39" xfId="0" applyFont="1" applyFill="1" applyBorder="1" applyAlignment="1" applyProtection="1">
      <alignment horizontal="center" vertical="center"/>
    </xf>
    <xf numFmtId="169" fontId="34" fillId="30" borderId="37" xfId="0" applyNumberFormat="1" applyFont="1" applyFill="1" applyBorder="1" applyAlignment="1" applyProtection="1">
      <alignment horizontal="center" vertical="center"/>
    </xf>
    <xf numFmtId="170" fontId="34" fillId="30" borderId="43" xfId="1" applyNumberFormat="1" applyFont="1" applyFill="1" applyBorder="1" applyAlignment="1" applyProtection="1">
      <alignment horizontal="center" vertical="center"/>
    </xf>
    <xf numFmtId="170" fontId="34" fillId="30" borderId="43" xfId="0" applyNumberFormat="1" applyFont="1" applyFill="1" applyBorder="1" applyAlignment="1" applyProtection="1">
      <alignment horizontal="center" vertical="center"/>
    </xf>
    <xf numFmtId="170" fontId="34" fillId="30" borderId="42" xfId="0" applyNumberFormat="1" applyFont="1" applyFill="1" applyBorder="1" applyAlignment="1" applyProtection="1">
      <alignment horizontal="center" vertical="center"/>
    </xf>
    <xf numFmtId="9" fontId="34" fillId="30" borderId="38" xfId="0" applyNumberFormat="1" applyFont="1" applyFill="1" applyBorder="1" applyAlignment="1" applyProtection="1">
      <alignment horizontal="center" vertical="center"/>
    </xf>
    <xf numFmtId="9" fontId="34" fillId="30" borderId="51" xfId="0" quotePrefix="1" applyNumberFormat="1" applyFont="1" applyFill="1" applyBorder="1" applyAlignment="1" applyProtection="1">
      <alignment horizontal="center" vertical="center"/>
    </xf>
    <xf numFmtId="9" fontId="34" fillId="30" borderId="39" xfId="0" applyNumberFormat="1" applyFont="1" applyFill="1" applyBorder="1" applyAlignment="1" applyProtection="1">
      <alignment horizontal="center" vertical="center"/>
    </xf>
    <xf numFmtId="0" fontId="34" fillId="30" borderId="38" xfId="0" applyFont="1" applyFill="1" applyBorder="1" applyAlignment="1" applyProtection="1">
      <alignment vertical="center"/>
    </xf>
    <xf numFmtId="0" fontId="34" fillId="30" borderId="51" xfId="0" applyFont="1" applyFill="1" applyBorder="1" applyAlignment="1" applyProtection="1">
      <alignment vertical="center"/>
    </xf>
    <xf numFmtId="0" fontId="34" fillId="30" borderId="39" xfId="0" applyFont="1" applyFill="1" applyBorder="1" applyAlignment="1" applyProtection="1">
      <alignment vertical="center"/>
    </xf>
    <xf numFmtId="0" fontId="42" fillId="30" borderId="37" xfId="0" applyFont="1" applyFill="1" applyBorder="1" applyAlignment="1" applyProtection="1">
      <alignment horizontal="center" vertical="center"/>
    </xf>
    <xf numFmtId="0" fontId="42" fillId="30" borderId="43" xfId="0" applyFont="1" applyFill="1" applyBorder="1" applyAlignment="1" applyProtection="1">
      <alignment horizontal="center" vertical="center"/>
    </xf>
    <xf numFmtId="0" fontId="42" fillId="30" borderId="42" xfId="0" applyFont="1" applyFill="1" applyBorder="1" applyAlignment="1" applyProtection="1">
      <alignment horizontal="center" vertical="center"/>
    </xf>
    <xf numFmtId="0" fontId="42" fillId="30" borderId="42" xfId="9" applyFont="1" applyFill="1" applyBorder="1" applyAlignment="1" applyProtection="1">
      <alignment horizontal="center" vertical="center" wrapText="1"/>
    </xf>
    <xf numFmtId="0" fontId="42" fillId="30" borderId="43" xfId="9" applyFont="1" applyFill="1" applyBorder="1" applyAlignment="1" applyProtection="1">
      <alignment horizontal="center" vertical="top" wrapText="1"/>
    </xf>
    <xf numFmtId="0" fontId="34" fillId="30" borderId="310" xfId="0" applyNumberFormat="1" applyFont="1" applyFill="1" applyBorder="1" applyAlignment="1" applyProtection="1">
      <alignment horizontal="center" vertical="center" wrapText="1"/>
    </xf>
    <xf numFmtId="0" fontId="34" fillId="30" borderId="309" xfId="0" applyFont="1" applyFill="1" applyBorder="1" applyAlignment="1" applyProtection="1">
      <alignment horizontal="center" vertical="center" wrapText="1"/>
    </xf>
    <xf numFmtId="0" fontId="34" fillId="30" borderId="309" xfId="0" applyNumberFormat="1" applyFont="1" applyFill="1" applyBorder="1" applyAlignment="1" applyProtection="1">
      <alignment horizontal="center" vertical="center" wrapText="1"/>
    </xf>
    <xf numFmtId="0" fontId="34" fillId="30" borderId="43" xfId="0" applyNumberFormat="1" applyFont="1" applyFill="1" applyBorder="1" applyAlignment="1" applyProtection="1">
      <alignment horizontal="center" vertical="center" wrapText="1"/>
    </xf>
    <xf numFmtId="0" fontId="34" fillId="30" borderId="308" xfId="0" applyNumberFormat="1" applyFont="1" applyFill="1" applyBorder="1" applyAlignment="1" applyProtection="1">
      <alignment horizontal="center" vertical="center" wrapText="1"/>
    </xf>
    <xf numFmtId="0" fontId="36" fillId="30" borderId="1" xfId="3" applyNumberFormat="1" applyFont="1" applyFill="1" applyBorder="1" applyAlignment="1" applyProtection="1">
      <alignment horizontal="center" vertical="center" wrapText="1"/>
      <protection locked="0"/>
    </xf>
    <xf numFmtId="9" fontId="36" fillId="30" borderId="1" xfId="3" applyNumberFormat="1" applyFont="1" applyFill="1" applyBorder="1" applyAlignment="1" applyProtection="1">
      <alignment horizontal="center" vertical="center" wrapText="1"/>
      <protection locked="0"/>
    </xf>
    <xf numFmtId="5" fontId="34" fillId="30" borderId="37" xfId="3" applyNumberFormat="1" applyFont="1" applyFill="1" applyBorder="1" applyAlignment="1" applyProtection="1">
      <alignment horizontal="center" vertical="center"/>
    </xf>
    <xf numFmtId="182" fontId="34" fillId="30" borderId="43" xfId="3" applyNumberFormat="1" applyFont="1" applyFill="1" applyBorder="1" applyAlignment="1" applyProtection="1">
      <alignment horizontal="center" vertical="center"/>
    </xf>
    <xf numFmtId="5" fontId="34" fillId="30" borderId="43" xfId="3" applyNumberFormat="1" applyFont="1" applyFill="1" applyBorder="1" applyAlignment="1" applyProtection="1">
      <alignment horizontal="center" vertical="center"/>
    </xf>
    <xf numFmtId="182" fontId="34" fillId="30" borderId="42" xfId="3" applyNumberFormat="1" applyFont="1" applyFill="1" applyBorder="1" applyAlignment="1" applyProtection="1">
      <alignment horizontal="center" vertical="center"/>
    </xf>
    <xf numFmtId="0" fontId="34" fillId="30" borderId="37" xfId="3" applyNumberFormat="1" applyFont="1" applyFill="1" applyBorder="1" applyAlignment="1" applyProtection="1">
      <alignment horizontal="center" vertical="center"/>
    </xf>
    <xf numFmtId="0" fontId="34" fillId="30" borderId="43" xfId="3" applyNumberFormat="1" applyFont="1" applyFill="1" applyBorder="1" applyAlignment="1" applyProtection="1">
      <alignment horizontal="center" vertical="center"/>
    </xf>
    <xf numFmtId="0" fontId="34" fillId="30" borderId="42" xfId="3" applyNumberFormat="1" applyFont="1" applyFill="1" applyBorder="1" applyAlignment="1" applyProtection="1">
      <alignment horizontal="center" vertical="center"/>
    </xf>
    <xf numFmtId="177" fontId="20" fillId="31" borderId="327" xfId="3" applyNumberFormat="1" applyFont="1" applyFill="1" applyBorder="1" applyAlignment="1" applyProtection="1">
      <alignment horizontal="center"/>
    </xf>
    <xf numFmtId="0" fontId="20" fillId="31" borderId="327" xfId="3" quotePrefix="1" applyNumberFormat="1" applyFont="1" applyFill="1" applyBorder="1" applyAlignment="1" applyProtection="1">
      <alignment horizontal="center"/>
    </xf>
    <xf numFmtId="0" fontId="20" fillId="31" borderId="327" xfId="3" applyNumberFormat="1" applyFont="1" applyFill="1" applyBorder="1" applyAlignment="1" applyProtection="1">
      <alignment horizontal="center" vertical="center"/>
    </xf>
    <xf numFmtId="1" fontId="20" fillId="31" borderId="327" xfId="3" applyNumberFormat="1" applyFont="1" applyFill="1" applyBorder="1" applyAlignment="1" applyProtection="1">
      <alignment horizontal="center" vertical="center"/>
    </xf>
    <xf numFmtId="0" fontId="34" fillId="30" borderId="2" xfId="3" quotePrefix="1" applyNumberFormat="1" applyFont="1" applyFill="1" applyBorder="1" applyAlignment="1" applyProtection="1">
      <alignment horizontal="center" vertical="center"/>
    </xf>
    <xf numFmtId="0" fontId="34" fillId="30" borderId="2" xfId="3" applyNumberFormat="1" applyFont="1" applyFill="1" applyBorder="1" applyAlignment="1" applyProtection="1">
      <alignment horizontal="center" vertical="center"/>
    </xf>
    <xf numFmtId="0" fontId="34" fillId="30" borderId="1" xfId="3" applyNumberFormat="1" applyFont="1" applyFill="1" applyBorder="1" applyAlignment="1" applyProtection="1">
      <alignment horizontal="center" vertical="center"/>
    </xf>
    <xf numFmtId="165" fontId="16" fillId="0" borderId="0" xfId="3" applyNumberFormat="1" applyFont="1" applyAlignment="1" applyProtection="1">
      <alignment horizontal="center"/>
    </xf>
    <xf numFmtId="0" fontId="16" fillId="0" borderId="0" xfId="3" applyNumberFormat="1" applyFont="1" applyAlignment="1" applyProtection="1">
      <alignment horizontal="center"/>
    </xf>
    <xf numFmtId="0" fontId="16" fillId="0" borderId="0" xfId="0" applyFont="1" applyAlignment="1">
      <alignment horizontal="center"/>
    </xf>
    <xf numFmtId="0" fontId="16" fillId="0" borderId="0" xfId="3" applyNumberFormat="1" applyFont="1" applyProtection="1"/>
    <xf numFmtId="0" fontId="16" fillId="0" borderId="0" xfId="3" applyFont="1" applyProtection="1"/>
    <xf numFmtId="0" fontId="16" fillId="0" borderId="0" xfId="3" applyFont="1" applyAlignment="1" applyProtection="1">
      <alignment horizontal="center"/>
    </xf>
    <xf numFmtId="0" fontId="16" fillId="0" borderId="0" xfId="0" quotePrefix="1" applyNumberFormat="1" applyFont="1"/>
    <xf numFmtId="0" fontId="87" fillId="0" borderId="0" xfId="4" quotePrefix="1" applyNumberFormat="1" applyFont="1" applyAlignment="1" applyProtection="1">
      <alignment horizontal="center"/>
    </xf>
    <xf numFmtId="0" fontId="87" fillId="0" borderId="0" xfId="11" applyNumberFormat="1" applyFont="1" applyAlignment="1" applyProtection="1">
      <alignment horizontal="center" wrapText="1"/>
    </xf>
    <xf numFmtId="0" fontId="16" fillId="0" borderId="0" xfId="4" applyNumberFormat="1" applyFont="1" applyFill="1" applyProtection="1"/>
    <xf numFmtId="0" fontId="16" fillId="0" borderId="0" xfId="4" quotePrefix="1" applyNumberFormat="1" applyFont="1" applyProtection="1"/>
    <xf numFmtId="0" fontId="16" fillId="0" borderId="0" xfId="4" quotePrefix="1" applyNumberFormat="1" applyFont="1" applyAlignment="1" applyProtection="1">
      <alignment horizontal="center"/>
    </xf>
    <xf numFmtId="165" fontId="4" fillId="0" borderId="0" xfId="12" quotePrefix="1" applyNumberFormat="1" applyFont="1" applyAlignment="1" applyProtection="1">
      <alignment horizontal="center"/>
    </xf>
    <xf numFmtId="0" fontId="16" fillId="0" borderId="0" xfId="4" applyNumberFormat="1" applyFont="1" applyProtection="1"/>
    <xf numFmtId="0" fontId="16" fillId="0" borderId="0" xfId="4" applyNumberFormat="1" applyFont="1" applyAlignment="1" applyProtection="1">
      <alignment horizontal="center"/>
    </xf>
    <xf numFmtId="165" fontId="21" fillId="0" borderId="0" xfId="2" applyNumberFormat="1" applyFont="1" applyAlignment="1" applyProtection="1">
      <alignment vertical="center"/>
    </xf>
    <xf numFmtId="0" fontId="4" fillId="0" borderId="1" xfId="9" applyFont="1" applyBorder="1" applyAlignment="1" applyProtection="1">
      <alignment horizontal="center"/>
    </xf>
    <xf numFmtId="0" fontId="10" fillId="0" borderId="0" xfId="3"/>
    <xf numFmtId="0" fontId="159" fillId="0" borderId="0" xfId="481" applyFont="1" applyAlignment="1">
      <alignment vertical="center"/>
    </xf>
    <xf numFmtId="0" fontId="10" fillId="0" borderId="0" xfId="481"/>
    <xf numFmtId="0" fontId="87" fillId="2" borderId="1" xfId="481" applyFont="1" applyFill="1" applyBorder="1"/>
    <xf numFmtId="0" fontId="16" fillId="0" borderId="0" xfId="481" applyFont="1" applyFill="1" applyAlignment="1">
      <alignment horizontal="left"/>
    </xf>
    <xf numFmtId="22" fontId="16" fillId="0" borderId="0" xfId="481" applyNumberFormat="1" applyFont="1" applyAlignment="1">
      <alignment horizontal="left"/>
    </xf>
    <xf numFmtId="0" fontId="16" fillId="0" borderId="0" xfId="481" applyFont="1" applyFill="1"/>
    <xf numFmtId="22" fontId="16" fillId="0" borderId="0" xfId="481" applyNumberFormat="1" applyFont="1" applyFill="1" applyAlignment="1">
      <alignment horizontal="left"/>
    </xf>
    <xf numFmtId="0" fontId="16" fillId="0" borderId="0" xfId="481" applyFont="1"/>
    <xf numFmtId="0" fontId="87" fillId="0" borderId="0" xfId="481" applyFont="1"/>
    <xf numFmtId="0" fontId="87" fillId="2" borderId="1" xfId="481" applyFont="1" applyFill="1" applyBorder="1" applyAlignment="1">
      <alignment vertical="top"/>
    </xf>
    <xf numFmtId="0" fontId="16" fillId="0" borderId="0" xfId="481" applyFont="1" applyBorder="1" applyAlignment="1">
      <alignment vertical="top"/>
    </xf>
    <xf numFmtId="0" fontId="16" fillId="0" borderId="0" xfId="481" applyFont="1" applyAlignment="1">
      <alignment vertical="top"/>
    </xf>
    <xf numFmtId="0" fontId="87" fillId="0" borderId="341" xfId="481" applyFont="1" applyBorder="1"/>
    <xf numFmtId="0" fontId="16" fillId="0" borderId="342" xfId="481" applyFont="1" applyBorder="1"/>
    <xf numFmtId="0" fontId="16" fillId="0" borderId="343" xfId="481" applyFont="1" applyBorder="1"/>
    <xf numFmtId="0" fontId="87" fillId="2" borderId="344" xfId="481" applyFont="1" applyFill="1" applyBorder="1" applyAlignment="1">
      <alignment vertical="top" wrapText="1"/>
    </xf>
    <xf numFmtId="0" fontId="16" fillId="0" borderId="341" xfId="481" applyFont="1" applyBorder="1"/>
    <xf numFmtId="0" fontId="16" fillId="0" borderId="0" xfId="481" applyFont="1" applyBorder="1"/>
    <xf numFmtId="0" fontId="16" fillId="0" borderId="345" xfId="481" applyFont="1" applyBorder="1"/>
    <xf numFmtId="0" fontId="160" fillId="0" borderId="0" xfId="3" applyFont="1" applyBorder="1" applyAlignment="1">
      <alignment horizontal="left" vertical="center" indent="1"/>
    </xf>
    <xf numFmtId="0" fontId="87" fillId="0" borderId="341" xfId="481" applyFont="1" applyFill="1" applyBorder="1" applyAlignment="1">
      <alignment vertical="top" wrapText="1"/>
    </xf>
    <xf numFmtId="0" fontId="160" fillId="0" borderId="0" xfId="3" applyFont="1" applyAlignment="1">
      <alignment horizontal="left" indent="1"/>
    </xf>
    <xf numFmtId="0" fontId="16" fillId="0" borderId="345" xfId="481" applyFont="1" applyBorder="1" applyAlignment="1">
      <alignment vertical="top" wrapText="1"/>
    </xf>
    <xf numFmtId="0" fontId="16" fillId="0" borderId="346" xfId="481" applyFont="1" applyBorder="1"/>
    <xf numFmtId="0" fontId="16" fillId="0" borderId="347" xfId="481" applyFont="1" applyBorder="1"/>
    <xf numFmtId="0" fontId="16" fillId="0" borderId="348" xfId="481" applyFont="1" applyBorder="1"/>
    <xf numFmtId="0" fontId="16" fillId="0" borderId="0" xfId="481" applyFont="1" applyAlignment="1">
      <alignment horizontal="center"/>
    </xf>
    <xf numFmtId="0" fontId="87" fillId="0" borderId="0" xfId="482" applyFont="1" applyBorder="1" applyAlignment="1" applyProtection="1"/>
    <xf numFmtId="0" fontId="16" fillId="0" borderId="0" xfId="482" applyFont="1" applyBorder="1" applyAlignment="1" applyProtection="1">
      <alignment horizontal="left"/>
    </xf>
    <xf numFmtId="0" fontId="87" fillId="0" borderId="0" xfId="482" applyFont="1" applyBorder="1" applyAlignment="1" applyProtection="1">
      <alignment vertical="center"/>
    </xf>
    <xf numFmtId="0" fontId="16" fillId="0" borderId="0" xfId="482" applyFont="1" applyBorder="1" applyAlignment="1" applyProtection="1">
      <alignment vertical="center"/>
    </xf>
    <xf numFmtId="0" fontId="16" fillId="0" borderId="0" xfId="482" applyFont="1" applyBorder="1" applyAlignment="1" applyProtection="1"/>
    <xf numFmtId="0" fontId="16" fillId="2" borderId="1" xfId="482" applyFont="1" applyFill="1" applyBorder="1" applyAlignment="1" applyProtection="1">
      <alignment horizontal="center"/>
    </xf>
    <xf numFmtId="0" fontId="16" fillId="0" borderId="1" xfId="482" applyFont="1" applyBorder="1" applyAlignment="1" applyProtection="1">
      <alignment vertical="top"/>
    </xf>
    <xf numFmtId="14" fontId="16" fillId="0" borderId="1" xfId="482" applyNumberFormat="1" applyFont="1" applyBorder="1" applyAlignment="1" applyProtection="1">
      <alignment horizontal="center" vertical="top"/>
    </xf>
    <xf numFmtId="0" fontId="16" fillId="0" borderId="1" xfId="482" applyFont="1" applyBorder="1" applyAlignment="1" applyProtection="1">
      <alignment horizontal="center" vertical="top"/>
    </xf>
    <xf numFmtId="0" fontId="16" fillId="0" borderId="1" xfId="482" applyFont="1" applyBorder="1" applyAlignment="1" applyProtection="1">
      <alignment vertical="top" wrapText="1"/>
    </xf>
    <xf numFmtId="0" fontId="16" fillId="2" borderId="1" xfId="482" applyFont="1" applyFill="1" applyBorder="1" applyAlignment="1" applyProtection="1">
      <alignment wrapText="1"/>
    </xf>
    <xf numFmtId="0" fontId="16" fillId="2" borderId="1" xfId="482" applyFont="1" applyFill="1" applyBorder="1" applyAlignment="1" applyProtection="1"/>
    <xf numFmtId="0" fontId="10" fillId="0" borderId="0" xfId="481" applyAlignment="1">
      <alignment vertical="top"/>
    </xf>
    <xf numFmtId="14" fontId="16" fillId="0" borderId="1" xfId="482" applyNumberFormat="1" applyFont="1" applyBorder="1" applyAlignment="1" applyProtection="1">
      <alignment vertical="top"/>
    </xf>
    <xf numFmtId="0" fontId="16" fillId="0" borderId="8" xfId="481" applyFont="1" applyBorder="1" applyAlignment="1">
      <alignment vertical="top" wrapText="1"/>
    </xf>
    <xf numFmtId="0" fontId="16" fillId="0" borderId="345" xfId="481" applyFont="1" applyBorder="1" applyAlignment="1">
      <alignment vertical="top" wrapText="1"/>
    </xf>
    <xf numFmtId="22" fontId="16" fillId="0" borderId="8" xfId="3" applyNumberFormat="1" applyFont="1" applyBorder="1" applyAlignment="1">
      <alignment horizontal="left" wrapText="1"/>
    </xf>
    <xf numFmtId="22" fontId="16" fillId="0" borderId="0" xfId="3" applyNumberFormat="1" applyFont="1" applyBorder="1" applyAlignment="1">
      <alignment horizontal="left" wrapText="1"/>
    </xf>
    <xf numFmtId="22" fontId="16" fillId="0" borderId="8" xfId="3" applyNumberFormat="1" applyFont="1" applyBorder="1" applyAlignment="1">
      <alignment horizontal="left" vertical="top" wrapText="1"/>
    </xf>
    <xf numFmtId="22" fontId="16" fillId="0" borderId="0" xfId="3" applyNumberFormat="1" applyFont="1" applyBorder="1" applyAlignment="1">
      <alignment horizontal="left" vertical="top" wrapText="1"/>
    </xf>
    <xf numFmtId="0" fontId="16" fillId="0" borderId="8" xfId="481" applyFont="1" applyBorder="1" applyAlignment="1">
      <alignment horizontal="left" vertical="top" wrapText="1"/>
    </xf>
    <xf numFmtId="0" fontId="16" fillId="0" borderId="0" xfId="481" applyFont="1" applyAlignment="1">
      <alignment horizontal="left" vertical="top" wrapText="1"/>
    </xf>
    <xf numFmtId="0" fontId="87" fillId="32" borderId="338" xfId="481" applyFont="1" applyFill="1" applyBorder="1" applyAlignment="1">
      <alignment horizontal="center" vertical="top" wrapText="1"/>
    </xf>
    <xf numFmtId="0" fontId="87" fillId="32" borderId="339" xfId="481" applyFont="1" applyFill="1" applyBorder="1" applyAlignment="1">
      <alignment horizontal="center" vertical="top" wrapText="1"/>
    </xf>
    <xf numFmtId="0" fontId="87" fillId="32" borderId="340" xfId="481" applyFont="1" applyFill="1" applyBorder="1" applyAlignment="1">
      <alignment horizontal="center" vertical="top" wrapText="1"/>
    </xf>
    <xf numFmtId="0" fontId="16" fillId="0" borderId="0" xfId="481" applyFont="1" applyBorder="1" applyAlignment="1">
      <alignment horizontal="left" vertical="top" wrapText="1"/>
    </xf>
    <xf numFmtId="0" fontId="16" fillId="0" borderId="345" xfId="481" applyFont="1" applyBorder="1" applyAlignment="1">
      <alignment horizontal="left" vertical="top" wrapText="1"/>
    </xf>
    <xf numFmtId="0" fontId="16" fillId="2" borderId="1" xfId="482" applyFont="1" applyFill="1" applyBorder="1" applyAlignment="1" applyProtection="1">
      <alignment horizontal="center" wrapText="1"/>
    </xf>
    <xf numFmtId="0" fontId="16" fillId="2" borderId="1" xfId="482" applyFont="1" applyFill="1" applyBorder="1" applyAlignment="1" applyProtection="1">
      <alignment horizontal="center"/>
    </xf>
    <xf numFmtId="0" fontId="87" fillId="0" borderId="0" xfId="482" applyFont="1" applyBorder="1" applyAlignment="1" applyProtection="1">
      <alignment horizontal="right" vertical="center"/>
    </xf>
    <xf numFmtId="0" fontId="16" fillId="0" borderId="0" xfId="482" applyFont="1" applyBorder="1" applyAlignment="1" applyProtection="1">
      <alignment horizontal="left"/>
    </xf>
    <xf numFmtId="0" fontId="107" fillId="2" borderId="256" xfId="0" applyFont="1" applyFill="1" applyBorder="1" applyAlignment="1">
      <alignment horizontal="left" vertical="center" wrapText="1"/>
    </xf>
    <xf numFmtId="0" fontId="107" fillId="2" borderId="54" xfId="0" applyFont="1" applyFill="1" applyBorder="1" applyAlignment="1">
      <alignment horizontal="left" vertical="center" wrapText="1"/>
    </xf>
    <xf numFmtId="0" fontId="150" fillId="0" borderId="0" xfId="0" applyFont="1" applyAlignment="1">
      <alignment horizontal="left"/>
    </xf>
    <xf numFmtId="0" fontId="107" fillId="19" borderId="0" xfId="0" applyFont="1" applyFill="1" applyBorder="1" applyAlignment="1">
      <alignment horizontal="left" vertical="center" wrapText="1"/>
    </xf>
    <xf numFmtId="0" fontId="107" fillId="2" borderId="0" xfId="0" applyFont="1" applyFill="1" applyBorder="1" applyAlignment="1">
      <alignment horizontal="left" vertical="top" wrapText="1"/>
    </xf>
    <xf numFmtId="0" fontId="107" fillId="19" borderId="12" xfId="0" applyFont="1" applyFill="1" applyBorder="1" applyAlignment="1">
      <alignment horizontal="left" vertical="center"/>
    </xf>
    <xf numFmtId="0" fontId="112" fillId="2" borderId="12" xfId="0" applyFont="1" applyFill="1" applyBorder="1" applyAlignment="1">
      <alignment horizontal="left"/>
    </xf>
    <xf numFmtId="0" fontId="107" fillId="19" borderId="256" xfId="0" applyFont="1" applyFill="1" applyBorder="1" applyAlignment="1">
      <alignment horizontal="left" vertical="center" wrapText="1"/>
    </xf>
    <xf numFmtId="0" fontId="107" fillId="19" borderId="54" xfId="0" applyFont="1" applyFill="1" applyBorder="1" applyAlignment="1">
      <alignment horizontal="left" vertical="center" wrapText="1"/>
    </xf>
    <xf numFmtId="0" fontId="107" fillId="2" borderId="256" xfId="0" applyFont="1" applyFill="1" applyBorder="1" applyAlignment="1">
      <alignment horizontal="left" vertical="center"/>
    </xf>
    <xf numFmtId="0" fontId="107" fillId="2" borderId="54" xfId="0" applyFont="1" applyFill="1" applyBorder="1" applyAlignment="1">
      <alignment horizontal="left" vertical="center"/>
    </xf>
    <xf numFmtId="0" fontId="107" fillId="19" borderId="256" xfId="0" applyFont="1" applyFill="1" applyBorder="1" applyAlignment="1">
      <alignment horizontal="left" vertical="center"/>
    </xf>
    <xf numFmtId="0" fontId="107" fillId="19" borderId="54" xfId="0" applyFont="1" applyFill="1" applyBorder="1" applyAlignment="1">
      <alignment horizontal="left" vertical="center"/>
    </xf>
    <xf numFmtId="0" fontId="107" fillId="19" borderId="45" xfId="0" applyFont="1" applyFill="1" applyBorder="1" applyAlignment="1">
      <alignment horizontal="left" vertical="center" wrapText="1"/>
    </xf>
    <xf numFmtId="0" fontId="107" fillId="19" borderId="0" xfId="0" applyFont="1" applyFill="1" applyAlignment="1">
      <alignment horizontal="left" vertical="center"/>
    </xf>
    <xf numFmtId="0" fontId="107" fillId="19" borderId="257" xfId="0" applyFont="1" applyFill="1" applyBorder="1" applyAlignment="1">
      <alignment horizontal="left" vertical="center" wrapText="1"/>
    </xf>
    <xf numFmtId="0" fontId="107" fillId="19" borderId="255" xfId="0" applyFont="1" applyFill="1" applyBorder="1" applyAlignment="1">
      <alignment horizontal="left" vertical="center"/>
    </xf>
    <xf numFmtId="0" fontId="107" fillId="19" borderId="53" xfId="0" applyFont="1" applyFill="1" applyBorder="1" applyAlignment="1">
      <alignment horizontal="left" vertical="center"/>
    </xf>
    <xf numFmtId="0" fontId="107" fillId="2" borderId="53" xfId="0" applyFont="1" applyFill="1" applyBorder="1" applyAlignment="1">
      <alignment horizontal="left" vertical="top" wrapText="1"/>
    </xf>
    <xf numFmtId="0" fontId="112" fillId="19" borderId="12" xfId="0" applyFont="1" applyFill="1" applyBorder="1" applyAlignment="1">
      <alignment horizontal="left"/>
    </xf>
    <xf numFmtId="0" fontId="21" fillId="3" borderId="254" xfId="0" quotePrefix="1" applyFont="1" applyFill="1" applyBorder="1" applyAlignment="1">
      <alignment horizontal="center" vertical="top"/>
    </xf>
    <xf numFmtId="0" fontId="21" fillId="3" borderId="22" xfId="0" quotePrefix="1" applyFont="1" applyFill="1" applyBorder="1" applyAlignment="1">
      <alignment horizontal="center" vertical="top"/>
    </xf>
    <xf numFmtId="0" fontId="108" fillId="2" borderId="0" xfId="0" applyFont="1" applyFill="1" applyBorder="1" applyAlignment="1">
      <alignment horizontal="left" vertical="top"/>
    </xf>
    <xf numFmtId="0" fontId="107" fillId="19" borderId="257" xfId="0" applyFont="1" applyFill="1" applyBorder="1" applyAlignment="1">
      <alignment horizontal="left" vertical="center"/>
    </xf>
    <xf numFmtId="0" fontId="108" fillId="2" borderId="0" xfId="0" applyFont="1" applyFill="1" applyBorder="1" applyAlignment="1">
      <alignment horizontal="left"/>
    </xf>
    <xf numFmtId="0" fontId="21" fillId="3" borderId="258" xfId="0" quotePrefix="1" applyFont="1" applyFill="1" applyBorder="1" applyAlignment="1">
      <alignment horizontal="center" vertical="top"/>
    </xf>
    <xf numFmtId="0" fontId="21" fillId="3" borderId="259" xfId="0" quotePrefix="1" applyFont="1" applyFill="1" applyBorder="1" applyAlignment="1">
      <alignment horizontal="center" vertical="top"/>
    </xf>
    <xf numFmtId="0" fontId="108" fillId="2" borderId="12" xfId="0" applyFont="1" applyFill="1" applyBorder="1" applyAlignment="1">
      <alignment horizontal="left" vertical="top"/>
    </xf>
    <xf numFmtId="0" fontId="107" fillId="19" borderId="53" xfId="0" applyFont="1" applyFill="1" applyBorder="1" applyAlignment="1">
      <alignment horizontal="left" vertical="top" wrapText="1"/>
    </xf>
    <xf numFmtId="0" fontId="107" fillId="19" borderId="255" xfId="0" applyFont="1" applyFill="1" applyBorder="1" applyAlignment="1">
      <alignment horizontal="left" vertical="center" wrapText="1"/>
    </xf>
    <xf numFmtId="0" fontId="107" fillId="19" borderId="53" xfId="0" applyFont="1" applyFill="1" applyBorder="1" applyAlignment="1">
      <alignment horizontal="left" vertical="center" wrapText="1"/>
    </xf>
    <xf numFmtId="0" fontId="112" fillId="19" borderId="12" xfId="0" applyFont="1" applyFill="1" applyBorder="1" applyAlignment="1">
      <alignment horizontal="left" wrapText="1"/>
    </xf>
    <xf numFmtId="0" fontId="61" fillId="19" borderId="0" xfId="0" applyFont="1" applyFill="1" applyBorder="1" applyAlignment="1">
      <alignment horizontal="left" vertical="center"/>
    </xf>
    <xf numFmtId="0" fontId="107" fillId="19" borderId="53" xfId="0" applyFont="1" applyFill="1" applyBorder="1" applyAlignment="1">
      <alignment horizontal="left" vertical="top"/>
    </xf>
    <xf numFmtId="0" fontId="21" fillId="3" borderId="254" xfId="0" quotePrefix="1" applyFont="1" applyFill="1" applyBorder="1" applyAlignment="1">
      <alignment horizontal="center" vertical="top" textRotation="255"/>
    </xf>
    <xf numFmtId="0" fontId="21" fillId="3" borderId="252" xfId="0" quotePrefix="1" applyFont="1" applyFill="1" applyBorder="1" applyAlignment="1">
      <alignment horizontal="center" vertical="top" textRotation="255"/>
    </xf>
    <xf numFmtId="0" fontId="21" fillId="3" borderId="12" xfId="0" quotePrefix="1" applyFont="1" applyFill="1" applyBorder="1" applyAlignment="1">
      <alignment horizontal="center" vertical="top"/>
    </xf>
    <xf numFmtId="0" fontId="21" fillId="3" borderId="0" xfId="0" quotePrefix="1" applyFont="1" applyFill="1" applyBorder="1" applyAlignment="1">
      <alignment horizontal="center" vertical="top"/>
    </xf>
    <xf numFmtId="0" fontId="21" fillId="3" borderId="53" xfId="0" quotePrefix="1" applyFont="1" applyFill="1" applyBorder="1" applyAlignment="1">
      <alignment horizontal="center" vertical="top"/>
    </xf>
    <xf numFmtId="0" fontId="107" fillId="2" borderId="292" xfId="0" applyFont="1" applyFill="1" applyBorder="1" applyAlignment="1">
      <alignment horizontal="left" vertical="center" wrapText="1"/>
    </xf>
    <xf numFmtId="0" fontId="107" fillId="2" borderId="291" xfId="0" applyFont="1" applyFill="1" applyBorder="1" applyAlignment="1">
      <alignment horizontal="left" vertical="center" wrapText="1"/>
    </xf>
    <xf numFmtId="0" fontId="112" fillId="19" borderId="257" xfId="0" applyFont="1" applyFill="1" applyBorder="1" applyAlignment="1">
      <alignment horizontal="left" vertical="top"/>
    </xf>
    <xf numFmtId="0" fontId="112" fillId="19" borderId="12" xfId="0" applyFont="1" applyFill="1" applyBorder="1" applyAlignment="1">
      <alignment horizontal="left" vertical="top"/>
    </xf>
    <xf numFmtId="0" fontId="112" fillId="19" borderId="257" xfId="0" applyFont="1" applyFill="1" applyBorder="1" applyAlignment="1">
      <alignment horizontal="left" vertical="center"/>
    </xf>
    <xf numFmtId="0" fontId="112" fillId="19" borderId="12" xfId="0" applyFont="1" applyFill="1" applyBorder="1" applyAlignment="1">
      <alignment horizontal="left" vertical="center"/>
    </xf>
    <xf numFmtId="0" fontId="107" fillId="2" borderId="45" xfId="0" applyFont="1" applyFill="1" applyBorder="1" applyAlignment="1">
      <alignment horizontal="left" vertical="top" wrapText="1"/>
    </xf>
    <xf numFmtId="0" fontId="107" fillId="19" borderId="26" xfId="0" applyFont="1" applyFill="1" applyBorder="1" applyAlignment="1">
      <alignment horizontal="left" vertical="center"/>
    </xf>
    <xf numFmtId="0" fontId="107" fillId="19" borderId="39" xfId="0" applyFont="1" applyFill="1" applyBorder="1" applyAlignment="1">
      <alignment horizontal="left" vertical="center"/>
    </xf>
    <xf numFmtId="0" fontId="107" fillId="2" borderId="26" xfId="0" applyFont="1" applyFill="1" applyBorder="1" applyAlignment="1">
      <alignment horizontal="left" vertical="center"/>
    </xf>
    <xf numFmtId="0" fontId="107" fillId="2" borderId="39" xfId="0" applyFont="1" applyFill="1" applyBorder="1" applyAlignment="1">
      <alignment horizontal="left" vertical="center"/>
    </xf>
    <xf numFmtId="0" fontId="21" fillId="3" borderId="252" xfId="0" quotePrefix="1" applyFont="1" applyFill="1" applyBorder="1" applyAlignment="1">
      <alignment horizontal="right" vertical="center"/>
    </xf>
    <xf numFmtId="0" fontId="21" fillId="3" borderId="253" xfId="0" applyFont="1" applyFill="1" applyBorder="1" applyAlignment="1">
      <alignment horizontal="right" vertical="center"/>
    </xf>
    <xf numFmtId="0" fontId="5" fillId="19" borderId="0" xfId="0" applyFont="1" applyFill="1" applyBorder="1" applyAlignment="1">
      <alignment horizontal="left" vertical="center"/>
    </xf>
    <xf numFmtId="0" fontId="107" fillId="2" borderId="255" xfId="0" applyFont="1" applyFill="1" applyBorder="1" applyAlignment="1">
      <alignment horizontal="left" vertical="top" wrapText="1"/>
    </xf>
    <xf numFmtId="0" fontId="115" fillId="0" borderId="0" xfId="0" applyFont="1" applyAlignment="1">
      <alignment horizontal="left"/>
    </xf>
    <xf numFmtId="0" fontId="109" fillId="19" borderId="45" xfId="0" applyFont="1" applyFill="1" applyBorder="1" applyAlignment="1">
      <alignment horizontal="center" vertical="center"/>
    </xf>
    <xf numFmtId="0" fontId="109" fillId="19" borderId="0" xfId="0" applyFont="1" applyFill="1" applyBorder="1" applyAlignment="1">
      <alignment horizontal="center" vertical="center"/>
    </xf>
    <xf numFmtId="0" fontId="150" fillId="0" borderId="0" xfId="0" applyFont="1" applyBorder="1" applyAlignment="1">
      <alignment horizontal="left" vertical="center"/>
    </xf>
    <xf numFmtId="0" fontId="60" fillId="12" borderId="0" xfId="0" applyFont="1" applyFill="1" applyBorder="1" applyAlignment="1">
      <alignment horizontal="center" vertical="center"/>
    </xf>
    <xf numFmtId="0" fontId="60" fillId="12" borderId="0" xfId="0" applyFont="1" applyFill="1" applyBorder="1" applyAlignment="1">
      <alignment horizontal="center" vertical="top"/>
    </xf>
    <xf numFmtId="0" fontId="60" fillId="12" borderId="249" xfId="0" applyFont="1" applyFill="1" applyBorder="1" applyAlignment="1">
      <alignment horizontal="center" vertical="top"/>
    </xf>
    <xf numFmtId="0" fontId="150" fillId="0" borderId="0" xfId="0" applyFont="1" applyBorder="1" applyAlignment="1">
      <alignment horizontal="left"/>
    </xf>
    <xf numFmtId="0" fontId="107" fillId="19" borderId="256" xfId="0" applyFont="1" applyFill="1" applyBorder="1" applyAlignment="1">
      <alignment vertical="center" wrapText="1"/>
    </xf>
    <xf numFmtId="0" fontId="107" fillId="19" borderId="54" xfId="0" applyFont="1" applyFill="1" applyBorder="1" applyAlignment="1">
      <alignment vertical="center" wrapText="1"/>
    </xf>
    <xf numFmtId="0" fontId="107" fillId="19" borderId="12" xfId="0" applyFont="1" applyFill="1" applyBorder="1" applyAlignment="1">
      <alignment horizontal="left" vertical="center" wrapText="1"/>
    </xf>
    <xf numFmtId="0" fontId="112" fillId="19" borderId="257" xfId="0" applyFont="1" applyFill="1" applyBorder="1" applyAlignment="1">
      <alignment horizontal="left" vertical="top" wrapText="1"/>
    </xf>
    <xf numFmtId="0" fontId="112" fillId="19" borderId="12" xfId="0" applyFont="1" applyFill="1" applyBorder="1" applyAlignment="1">
      <alignment horizontal="left" vertical="top" wrapText="1"/>
    </xf>
    <xf numFmtId="0" fontId="107" fillId="19" borderId="45" xfId="0" applyFont="1" applyFill="1" applyBorder="1" applyAlignment="1">
      <alignment horizontal="left" vertical="top" wrapText="1"/>
    </xf>
    <xf numFmtId="0" fontId="107" fillId="19" borderId="0" xfId="0" applyFont="1" applyFill="1" applyBorder="1" applyAlignment="1">
      <alignment horizontal="left" vertical="top" wrapText="1"/>
    </xf>
    <xf numFmtId="0" fontId="150" fillId="3" borderId="0" xfId="0" applyFont="1" applyFill="1" applyAlignment="1">
      <alignment horizontal="left"/>
    </xf>
    <xf numFmtId="0" fontId="60" fillId="12" borderId="249" xfId="0" applyFont="1" applyFill="1" applyBorder="1" applyAlignment="1">
      <alignment horizontal="center" vertical="center"/>
    </xf>
    <xf numFmtId="0" fontId="60" fillId="12" borderId="248" xfId="0" applyFont="1" applyFill="1" applyBorder="1" applyAlignment="1">
      <alignment horizontal="center"/>
    </xf>
    <xf numFmtId="0" fontId="60" fillId="12" borderId="0" xfId="0" applyFont="1" applyFill="1" applyBorder="1" applyAlignment="1">
      <alignment horizontal="center"/>
    </xf>
    <xf numFmtId="0" fontId="60" fillId="12" borderId="248" xfId="0" applyFont="1" applyFill="1" applyBorder="1" applyAlignment="1">
      <alignment horizontal="center" vertical="top"/>
    </xf>
    <xf numFmtId="0" fontId="61" fillId="3" borderId="0" xfId="0" applyFont="1" applyFill="1" applyAlignment="1">
      <alignment horizontal="left" vertical="center"/>
    </xf>
    <xf numFmtId="0" fontId="5" fillId="19" borderId="53" xfId="0" applyFont="1" applyFill="1" applyBorder="1" applyAlignment="1">
      <alignment horizontal="left" vertical="center"/>
    </xf>
    <xf numFmtId="0" fontId="5" fillId="19" borderId="12" xfId="0" applyFont="1" applyFill="1" applyBorder="1" applyAlignment="1">
      <alignment horizontal="left" vertical="center"/>
    </xf>
    <xf numFmtId="0" fontId="61" fillId="3" borderId="0" xfId="0" applyFont="1" applyFill="1" applyBorder="1" applyAlignment="1">
      <alignment horizontal="left" vertical="center" wrapText="1"/>
    </xf>
    <xf numFmtId="0" fontId="107" fillId="19" borderId="45" xfId="0" applyFont="1" applyFill="1" applyBorder="1" applyAlignment="1">
      <alignment horizontal="left" vertical="top"/>
    </xf>
    <xf numFmtId="0" fontId="107" fillId="19" borderId="0" xfId="0" applyFont="1" applyFill="1" applyBorder="1" applyAlignment="1">
      <alignment horizontal="left" vertical="top"/>
    </xf>
    <xf numFmtId="0" fontId="112" fillId="2" borderId="257" xfId="0" applyFont="1" applyFill="1" applyBorder="1" applyAlignment="1">
      <alignment horizontal="left" vertical="top"/>
    </xf>
    <xf numFmtId="0" fontId="112" fillId="2" borderId="12" xfId="0" applyFont="1" applyFill="1" applyBorder="1" applyAlignment="1">
      <alignment horizontal="left" vertical="top"/>
    </xf>
    <xf numFmtId="0" fontId="59" fillId="0" borderId="0" xfId="0" applyFont="1" applyFill="1" applyBorder="1" applyAlignment="1" applyProtection="1">
      <alignment horizontal="right"/>
    </xf>
    <xf numFmtId="0" fontId="61" fillId="3" borderId="0" xfId="0" applyFont="1" applyFill="1" applyBorder="1" applyAlignment="1" applyProtection="1">
      <alignment horizontal="right" vertical="center"/>
    </xf>
    <xf numFmtId="0" fontId="70" fillId="3" borderId="0" xfId="0" applyFont="1" applyFill="1" applyAlignment="1">
      <alignment horizontal="right" vertical="center"/>
    </xf>
    <xf numFmtId="0" fontId="70" fillId="3" borderId="16" xfId="0" applyFont="1" applyFill="1" applyBorder="1" applyAlignment="1">
      <alignment horizontal="right" vertical="center"/>
    </xf>
    <xf numFmtId="0" fontId="63" fillId="3" borderId="92" xfId="0" applyFont="1" applyFill="1" applyBorder="1" applyAlignment="1" applyProtection="1">
      <alignment horizontal="left" vertical="center"/>
      <protection locked="0"/>
    </xf>
    <xf numFmtId="0" fontId="63" fillId="3" borderId="68" xfId="0" applyFont="1" applyFill="1" applyBorder="1" applyAlignment="1" applyProtection="1">
      <alignment horizontal="left" vertical="center"/>
      <protection locked="0"/>
    </xf>
    <xf numFmtId="0" fontId="70" fillId="3" borderId="109" xfId="0" applyFont="1" applyFill="1" applyBorder="1" applyAlignment="1" applyProtection="1">
      <alignment horizontal="right" vertical="center"/>
    </xf>
    <xf numFmtId="0" fontId="70" fillId="3" borderId="0" xfId="0" applyFont="1" applyFill="1" applyBorder="1" applyAlignment="1" applyProtection="1">
      <alignment horizontal="right" vertical="center"/>
    </xf>
    <xf numFmtId="0" fontId="57" fillId="13" borderId="45" xfId="19" applyFont="1" applyFill="1" applyBorder="1" applyAlignment="1" applyProtection="1">
      <alignment horizontal="center" vertical="top" wrapText="1"/>
      <protection locked="0"/>
    </xf>
    <xf numFmtId="0" fontId="57" fillId="13" borderId="22" xfId="19" applyFont="1" applyFill="1" applyBorder="1" applyAlignment="1" applyProtection="1">
      <alignment horizontal="center" vertical="top" wrapText="1"/>
      <protection locked="0"/>
    </xf>
    <xf numFmtId="0" fontId="70" fillId="3" borderId="55" xfId="0" applyFont="1" applyFill="1" applyBorder="1" applyAlignment="1" applyProtection="1">
      <alignment horizontal="right" vertical="center"/>
    </xf>
    <xf numFmtId="0" fontId="42" fillId="3" borderId="0" xfId="0" applyFont="1" applyFill="1" applyBorder="1" applyAlignment="1" applyProtection="1">
      <alignment horizontal="right" vertical="center"/>
    </xf>
    <xf numFmtId="49" fontId="63" fillId="3" borderId="92" xfId="0" applyNumberFormat="1" applyFont="1" applyFill="1" applyBorder="1" applyAlignment="1" applyProtection="1">
      <alignment horizontal="center" vertical="center"/>
      <protection locked="0"/>
    </xf>
    <xf numFmtId="49" fontId="63" fillId="3" borderId="68" xfId="0" applyNumberFormat="1" applyFont="1" applyFill="1" applyBorder="1" applyAlignment="1" applyProtection="1">
      <alignment horizontal="center" vertical="center"/>
      <protection locked="0"/>
    </xf>
    <xf numFmtId="0" fontId="134" fillId="0" borderId="92" xfId="0" applyFont="1" applyBorder="1" applyAlignment="1" applyProtection="1">
      <alignment horizontal="left" vertical="center"/>
      <protection locked="0"/>
    </xf>
    <xf numFmtId="0" fontId="134" fillId="0" borderId="112" xfId="0" applyFont="1" applyBorder="1" applyAlignment="1" applyProtection="1">
      <alignment horizontal="left" vertical="center"/>
      <protection locked="0"/>
    </xf>
    <xf numFmtId="0" fontId="134" fillId="0" borderId="68" xfId="0" applyFont="1" applyBorder="1" applyAlignment="1" applyProtection="1">
      <alignment horizontal="left" vertical="center"/>
      <protection locked="0"/>
    </xf>
    <xf numFmtId="0" fontId="49" fillId="3" borderId="0" xfId="0" applyFont="1" applyFill="1" applyBorder="1" applyAlignment="1" applyProtection="1">
      <alignment horizontal="center" vertical="center"/>
    </xf>
    <xf numFmtId="49" fontId="134" fillId="2" borderId="92" xfId="0" applyNumberFormat="1" applyFont="1" applyFill="1" applyBorder="1" applyAlignment="1" applyProtection="1">
      <alignment horizontal="left" vertical="center"/>
    </xf>
    <xf numFmtId="49" fontId="134" fillId="2" borderId="68" xfId="0" applyNumberFormat="1" applyFont="1" applyFill="1" applyBorder="1" applyAlignment="1" applyProtection="1">
      <alignment horizontal="left" vertical="center"/>
    </xf>
    <xf numFmtId="0" fontId="134" fillId="3" borderId="92" xfId="0" applyFont="1" applyFill="1" applyBorder="1" applyAlignment="1" applyProtection="1">
      <alignment horizontal="left" vertical="center"/>
      <protection locked="0"/>
    </xf>
    <xf numFmtId="0" fontId="134" fillId="3" borderId="68" xfId="0" applyFont="1" applyFill="1" applyBorder="1" applyAlignment="1" applyProtection="1">
      <alignment horizontal="left" vertical="center"/>
      <protection locked="0"/>
    </xf>
    <xf numFmtId="0" fontId="134" fillId="3" borderId="32" xfId="0" applyFont="1" applyFill="1" applyBorder="1" applyAlignment="1" applyProtection="1">
      <alignment horizontal="center" vertical="center"/>
    </xf>
    <xf numFmtId="0" fontId="134" fillId="3" borderId="14" xfId="0" applyFont="1" applyFill="1" applyBorder="1" applyAlignment="1" applyProtection="1">
      <alignment horizontal="center" vertical="center"/>
    </xf>
    <xf numFmtId="0" fontId="134" fillId="3" borderId="29" xfId="0" applyFont="1" applyFill="1" applyBorder="1" applyAlignment="1" applyProtection="1">
      <alignment horizontal="center" vertical="center"/>
    </xf>
    <xf numFmtId="0" fontId="15" fillId="3" borderId="109" xfId="0" applyFont="1" applyFill="1" applyBorder="1" applyAlignment="1" applyProtection="1">
      <alignment horizontal="right" vertical="center"/>
    </xf>
    <xf numFmtId="0" fontId="15" fillId="3" borderId="0" xfId="0" applyFont="1" applyFill="1" applyBorder="1" applyAlignment="1" applyProtection="1">
      <alignment horizontal="right" vertical="center"/>
    </xf>
    <xf numFmtId="0" fontId="82" fillId="0" borderId="57" xfId="0" applyFont="1" applyBorder="1" applyAlignment="1">
      <alignment horizontal="center" vertical="top" wrapText="1"/>
    </xf>
    <xf numFmtId="0" fontId="82" fillId="0" borderId="59" xfId="0" applyFont="1" applyBorder="1" applyAlignment="1">
      <alignment horizontal="center" vertical="top" wrapText="1"/>
    </xf>
    <xf numFmtId="0" fontId="82" fillId="0" borderId="46" xfId="0" applyFont="1" applyBorder="1" applyAlignment="1">
      <alignment horizontal="center" vertical="top" wrapText="1"/>
    </xf>
    <xf numFmtId="0" fontId="82" fillId="0" borderId="55" xfId="0" applyFont="1" applyBorder="1" applyAlignment="1">
      <alignment horizontal="center" vertical="top" wrapText="1"/>
    </xf>
    <xf numFmtId="0" fontId="57" fillId="3" borderId="0" xfId="0" applyFont="1" applyFill="1" applyBorder="1" applyAlignment="1" applyProtection="1">
      <alignment horizontal="right" vertical="center"/>
    </xf>
    <xf numFmtId="0" fontId="57" fillId="3" borderId="16" xfId="0" applyFont="1" applyFill="1" applyBorder="1" applyAlignment="1" applyProtection="1">
      <alignment horizontal="right" vertical="center"/>
    </xf>
    <xf numFmtId="0" fontId="59" fillId="3" borderId="109" xfId="0" applyFont="1" applyFill="1" applyBorder="1" applyAlignment="1" applyProtection="1">
      <alignment horizontal="right" vertical="center" wrapText="1"/>
    </xf>
    <xf numFmtId="0" fontId="59" fillId="3" borderId="55" xfId="0" applyFont="1" applyFill="1" applyBorder="1" applyAlignment="1" applyProtection="1">
      <alignment horizontal="right" vertical="center" wrapText="1"/>
    </xf>
    <xf numFmtId="49" fontId="152" fillId="3" borderId="47" xfId="0" applyNumberFormat="1" applyFont="1" applyFill="1" applyBorder="1" applyAlignment="1" applyProtection="1">
      <alignment horizontal="left" vertical="center"/>
    </xf>
    <xf numFmtId="49" fontId="152" fillId="3" borderId="0" xfId="0" applyNumberFormat="1" applyFont="1" applyFill="1" applyBorder="1" applyAlignment="1" applyProtection="1">
      <alignment horizontal="left"/>
    </xf>
    <xf numFmtId="49" fontId="152" fillId="3" borderId="47" xfId="0" applyNumberFormat="1" applyFont="1" applyFill="1" applyBorder="1" applyAlignment="1" applyProtection="1">
      <alignment horizontal="left"/>
    </xf>
    <xf numFmtId="0" fontId="69" fillId="3" borderId="32" xfId="0" applyFont="1" applyFill="1" applyBorder="1" applyAlignment="1" applyProtection="1">
      <alignment horizontal="left" vertical="center"/>
      <protection locked="0"/>
    </xf>
    <xf numFmtId="0" fontId="69" fillId="3" borderId="29" xfId="0" applyFont="1" applyFill="1" applyBorder="1" applyAlignment="1" applyProtection="1">
      <alignment horizontal="left" vertical="center"/>
      <protection locked="0"/>
    </xf>
    <xf numFmtId="0" fontId="24" fillId="0" borderId="0" xfId="0" applyFont="1" applyAlignment="1" applyProtection="1">
      <alignment horizontal="center" vertical="center" wrapText="1"/>
    </xf>
    <xf numFmtId="49" fontId="69" fillId="21" borderId="32" xfId="0" applyNumberFormat="1" applyFont="1" applyFill="1" applyBorder="1" applyAlignment="1" applyProtection="1">
      <alignment horizontal="left" vertical="center"/>
    </xf>
    <xf numFmtId="49" fontId="69" fillId="21" borderId="29" xfId="0" applyNumberFormat="1" applyFont="1" applyFill="1" applyBorder="1" applyAlignment="1" applyProtection="1">
      <alignment horizontal="left" vertical="center"/>
    </xf>
    <xf numFmtId="0" fontId="110" fillId="3" borderId="52" xfId="0" applyFont="1" applyFill="1" applyBorder="1" applyAlignment="1" applyProtection="1">
      <alignment horizontal="right" vertical="center"/>
    </xf>
    <xf numFmtId="0" fontId="110" fillId="3" borderId="198" xfId="0" applyFont="1" applyFill="1" applyBorder="1" applyAlignment="1" applyProtection="1">
      <alignment horizontal="right" vertical="center"/>
    </xf>
    <xf numFmtId="49" fontId="36" fillId="7" borderId="1" xfId="0" applyNumberFormat="1" applyFont="1" applyFill="1" applyBorder="1" applyAlignment="1" applyProtection="1">
      <alignment horizontal="center" vertical="center"/>
    </xf>
    <xf numFmtId="0" fontId="71" fillId="12" borderId="75" xfId="0" applyFont="1" applyFill="1" applyBorder="1" applyAlignment="1" applyProtection="1">
      <alignment horizontal="center" vertical="center" wrapText="1"/>
    </xf>
    <xf numFmtId="0" fontId="71" fillId="12" borderId="76" xfId="0" applyFont="1" applyFill="1" applyBorder="1" applyAlignment="1" applyProtection="1">
      <alignment horizontal="center" vertical="center" wrapText="1"/>
    </xf>
    <xf numFmtId="0" fontId="71" fillId="12" borderId="77" xfId="0" applyFont="1" applyFill="1" applyBorder="1" applyAlignment="1" applyProtection="1">
      <alignment horizontal="center" vertical="center" wrapText="1"/>
    </xf>
    <xf numFmtId="0" fontId="15" fillId="3" borderId="0" xfId="0" applyFont="1" applyFill="1" applyBorder="1" applyAlignment="1" applyProtection="1">
      <alignment horizontal="center"/>
    </xf>
    <xf numFmtId="0" fontId="69" fillId="23" borderId="32" xfId="0" applyFont="1" applyFill="1" applyBorder="1" applyAlignment="1" applyProtection="1">
      <alignment horizontal="left" vertical="center"/>
    </xf>
    <xf numFmtId="0" fontId="69" fillId="23" borderId="29" xfId="0" applyFont="1" applyFill="1" applyBorder="1" applyAlignment="1" applyProtection="1">
      <alignment horizontal="left" vertical="center"/>
    </xf>
    <xf numFmtId="49" fontId="69" fillId="23" borderId="32" xfId="0" applyNumberFormat="1" applyFont="1" applyFill="1" applyBorder="1" applyAlignment="1" applyProtection="1">
      <alignment horizontal="left" vertical="center"/>
    </xf>
    <xf numFmtId="49" fontId="69" fillId="23" borderId="29" xfId="0" applyNumberFormat="1" applyFont="1" applyFill="1" applyBorder="1" applyAlignment="1" applyProtection="1">
      <alignment horizontal="left" vertical="center"/>
    </xf>
    <xf numFmtId="0" fontId="21" fillId="3" borderId="32" xfId="0" applyFont="1" applyFill="1" applyBorder="1" applyAlignment="1" applyProtection="1">
      <alignment horizontal="left" vertical="center"/>
      <protection locked="0"/>
    </xf>
    <xf numFmtId="0" fontId="21" fillId="3" borderId="29" xfId="0" applyFont="1" applyFill="1" applyBorder="1" applyAlignment="1" applyProtection="1">
      <alignment horizontal="left" vertical="center"/>
      <protection locked="0"/>
    </xf>
    <xf numFmtId="49" fontId="64" fillId="3" borderId="47" xfId="0" applyNumberFormat="1" applyFont="1" applyFill="1" applyBorder="1" applyAlignment="1" applyProtection="1">
      <alignment horizontal="left" vertical="center"/>
    </xf>
    <xf numFmtId="0" fontId="61" fillId="3" borderId="0" xfId="0" applyFont="1" applyFill="1" applyBorder="1" applyAlignment="1" applyProtection="1">
      <alignment horizontal="right"/>
    </xf>
    <xf numFmtId="0" fontId="59" fillId="0" borderId="0" xfId="0" applyFont="1" applyFill="1" applyBorder="1" applyAlignment="1" applyProtection="1">
      <alignment horizontal="right" vertical="center"/>
    </xf>
    <xf numFmtId="0" fontId="57" fillId="13" borderId="0" xfId="19" applyFont="1" applyFill="1" applyBorder="1" applyAlignment="1" applyProtection="1">
      <alignment horizontal="center" vertical="top" wrapText="1"/>
      <protection locked="0"/>
    </xf>
    <xf numFmtId="0" fontId="151" fillId="0" borderId="0" xfId="0" applyFont="1" applyBorder="1" applyAlignment="1" applyProtection="1">
      <alignment horizontal="right" vertical="top"/>
    </xf>
    <xf numFmtId="0" fontId="108" fillId="3" borderId="0" xfId="0" applyFont="1" applyFill="1" applyBorder="1" applyAlignment="1" applyProtection="1">
      <alignment horizontal="right" vertical="center"/>
    </xf>
    <xf numFmtId="0" fontId="47" fillId="0" borderId="0" xfId="19" applyFont="1" applyFill="1" applyBorder="1" applyAlignment="1" applyProtection="1">
      <alignment horizontal="right" vertical="top"/>
    </xf>
    <xf numFmtId="0" fontId="59" fillId="0" borderId="0" xfId="0" applyFont="1" applyBorder="1" applyAlignment="1" applyProtection="1">
      <alignment horizontal="right" vertical="center"/>
    </xf>
    <xf numFmtId="0" fontId="82" fillId="3" borderId="30" xfId="0" applyFont="1" applyFill="1" applyBorder="1" applyAlignment="1" applyProtection="1">
      <alignment horizontal="center" vertical="top" wrapText="1"/>
      <protection locked="0"/>
    </xf>
    <xf numFmtId="0" fontId="82" fillId="3" borderId="31" xfId="0" applyFont="1" applyFill="1" applyBorder="1" applyAlignment="1" applyProtection="1">
      <alignment horizontal="center" vertical="top" wrapText="1"/>
      <protection locked="0"/>
    </xf>
    <xf numFmtId="49" fontId="34" fillId="7" borderId="2" xfId="0" applyNumberFormat="1" applyFont="1" applyFill="1" applyBorder="1" applyAlignment="1" applyProtection="1">
      <alignment horizontal="center" vertical="center"/>
    </xf>
    <xf numFmtId="49" fontId="34" fillId="7" borderId="1" xfId="0" applyNumberFormat="1" applyFont="1" applyFill="1" applyBorder="1" applyAlignment="1" applyProtection="1">
      <alignment horizontal="center" vertical="center"/>
    </xf>
    <xf numFmtId="0" fontId="61" fillId="3" borderId="0" xfId="0" applyFont="1" applyFill="1" applyAlignment="1" applyProtection="1">
      <alignment horizontal="right"/>
    </xf>
    <xf numFmtId="0" fontId="59" fillId="0" borderId="0" xfId="0" applyFont="1" applyAlignment="1" applyProtection="1">
      <alignment horizontal="right" vertical="center"/>
    </xf>
    <xf numFmtId="0" fontId="124" fillId="3" borderId="165" xfId="0" applyFont="1" applyFill="1" applyBorder="1" applyAlignment="1" applyProtection="1">
      <alignment horizontal="right" vertical="center"/>
      <protection locked="0"/>
    </xf>
    <xf numFmtId="0" fontId="124" fillId="3" borderId="14" xfId="0" applyFont="1" applyFill="1" applyBorder="1" applyAlignment="1" applyProtection="1">
      <alignment horizontal="right" vertical="center"/>
      <protection locked="0"/>
    </xf>
    <xf numFmtId="0" fontId="124" fillId="3" borderId="166" xfId="0" applyFont="1" applyFill="1" applyBorder="1" applyAlignment="1" applyProtection="1">
      <alignment horizontal="right" vertical="center"/>
      <protection locked="0"/>
    </xf>
    <xf numFmtId="0" fontId="82" fillId="3" borderId="57" xfId="0" applyFont="1" applyFill="1" applyBorder="1" applyAlignment="1" applyProtection="1">
      <alignment horizontal="center" vertical="top" wrapText="1"/>
      <protection locked="0"/>
    </xf>
    <xf numFmtId="0" fontId="82" fillId="3" borderId="59" xfId="0" applyFont="1" applyFill="1" applyBorder="1" applyAlignment="1" applyProtection="1">
      <alignment horizontal="center" vertical="top" wrapText="1"/>
      <protection locked="0"/>
    </xf>
    <xf numFmtId="0" fontId="82" fillId="3" borderId="46" xfId="0" applyFont="1" applyFill="1" applyBorder="1" applyAlignment="1" applyProtection="1">
      <alignment horizontal="center" vertical="top" wrapText="1"/>
      <protection locked="0"/>
    </xf>
    <xf numFmtId="0" fontId="82" fillId="3" borderId="55" xfId="0" applyFont="1" applyFill="1" applyBorder="1" applyAlignment="1" applyProtection="1">
      <alignment horizontal="center" vertical="top" wrapText="1"/>
      <protection locked="0"/>
    </xf>
    <xf numFmtId="165" fontId="108" fillId="21" borderId="175" xfId="0" applyNumberFormat="1" applyFont="1" applyFill="1" applyBorder="1" applyAlignment="1" applyProtection="1">
      <alignment horizontal="center" vertical="center"/>
    </xf>
    <xf numFmtId="165" fontId="108" fillId="21" borderId="176" xfId="0" applyNumberFormat="1" applyFont="1" applyFill="1" applyBorder="1" applyAlignment="1" applyProtection="1">
      <alignment horizontal="center" vertical="center"/>
    </xf>
    <xf numFmtId="165" fontId="94" fillId="3" borderId="165" xfId="0" applyNumberFormat="1" applyFont="1" applyFill="1" applyBorder="1" applyAlignment="1" applyProtection="1">
      <alignment horizontal="center" vertical="center"/>
      <protection locked="0"/>
    </xf>
    <xf numFmtId="165" fontId="94" fillId="3" borderId="29" xfId="0" applyNumberFormat="1" applyFont="1" applyFill="1" applyBorder="1" applyAlignment="1" applyProtection="1">
      <alignment horizontal="center" vertical="center"/>
      <protection locked="0"/>
    </xf>
    <xf numFmtId="165" fontId="94" fillId="3" borderId="19" xfId="0" applyNumberFormat="1" applyFont="1" applyFill="1" applyBorder="1" applyAlignment="1" applyProtection="1">
      <alignment horizontal="center" vertical="center"/>
      <protection locked="0"/>
    </xf>
    <xf numFmtId="165" fontId="94" fillId="3" borderId="95" xfId="0" applyNumberFormat="1" applyFont="1" applyFill="1" applyBorder="1" applyAlignment="1" applyProtection="1">
      <alignment horizontal="center" vertical="center"/>
      <protection locked="0"/>
    </xf>
    <xf numFmtId="165" fontId="94" fillId="3" borderId="32" xfId="0" applyNumberFormat="1" applyFont="1" applyFill="1" applyBorder="1" applyAlignment="1" applyProtection="1">
      <alignment horizontal="center" vertical="center"/>
      <protection locked="0"/>
    </xf>
    <xf numFmtId="165" fontId="94" fillId="3" borderId="176" xfId="0" applyNumberFormat="1" applyFont="1" applyFill="1" applyBorder="1" applyAlignment="1" applyProtection="1">
      <alignment horizontal="center" vertical="center"/>
      <protection locked="0"/>
    </xf>
    <xf numFmtId="165" fontId="108" fillId="21" borderId="170" xfId="0" applyNumberFormat="1" applyFont="1" applyFill="1" applyBorder="1" applyAlignment="1" applyProtection="1">
      <alignment horizontal="center" vertical="center"/>
    </xf>
    <xf numFmtId="165" fontId="94" fillId="3" borderId="70" xfId="0" applyNumberFormat="1" applyFont="1" applyFill="1" applyBorder="1" applyAlignment="1" applyProtection="1">
      <alignment horizontal="center" vertical="center"/>
      <protection locked="0"/>
    </xf>
    <xf numFmtId="165" fontId="108" fillId="21" borderId="173" xfId="0" applyNumberFormat="1" applyFont="1" applyFill="1" applyBorder="1" applyAlignment="1" applyProtection="1">
      <alignment horizontal="center" vertical="center"/>
    </xf>
    <xf numFmtId="165" fontId="108" fillId="21" borderId="174" xfId="0" applyNumberFormat="1" applyFont="1" applyFill="1" applyBorder="1" applyAlignment="1" applyProtection="1">
      <alignment horizontal="center" vertical="center"/>
    </xf>
    <xf numFmtId="0" fontId="110" fillId="0" borderId="0" xfId="0" applyFont="1" applyFill="1" applyBorder="1" applyAlignment="1" applyProtection="1">
      <alignment horizontal="right" vertical="center"/>
    </xf>
    <xf numFmtId="0" fontId="124" fillId="0" borderId="163" xfId="0" applyFont="1" applyBorder="1" applyAlignment="1" applyProtection="1">
      <alignment horizontal="right" vertical="center"/>
      <protection locked="0"/>
    </xf>
    <xf numFmtId="0" fontId="124" fillId="0" borderId="149" xfId="0" applyFont="1" applyBorder="1" applyAlignment="1" applyProtection="1">
      <alignment horizontal="right" vertical="center"/>
      <protection locked="0"/>
    </xf>
    <xf numFmtId="0" fontId="124" fillId="0" borderId="164" xfId="0" applyFont="1" applyBorder="1" applyAlignment="1" applyProtection="1">
      <alignment horizontal="right" vertical="center"/>
      <protection locked="0"/>
    </xf>
    <xf numFmtId="0" fontId="123" fillId="3" borderId="0" xfId="0" applyFont="1" applyFill="1" applyBorder="1" applyAlignment="1" applyProtection="1">
      <alignment horizontal="right" vertical="center"/>
    </xf>
    <xf numFmtId="0" fontId="153" fillId="3" borderId="0" xfId="0" applyFont="1" applyFill="1" applyBorder="1" applyAlignment="1" applyProtection="1">
      <alignment horizontal="right"/>
    </xf>
    <xf numFmtId="0" fontId="124" fillId="3" borderId="167" xfId="0" applyFont="1" applyFill="1" applyBorder="1" applyAlignment="1" applyProtection="1">
      <alignment horizontal="right" vertical="center"/>
      <protection locked="0"/>
    </xf>
    <xf numFmtId="0" fontId="124" fillId="3" borderId="147" xfId="0" applyFont="1" applyFill="1" applyBorder="1" applyAlignment="1" applyProtection="1">
      <alignment horizontal="right" vertical="center"/>
      <protection locked="0"/>
    </xf>
    <xf numFmtId="0" fontId="124" fillId="3" borderId="168" xfId="0" applyFont="1" applyFill="1" applyBorder="1" applyAlignment="1" applyProtection="1">
      <alignment horizontal="right" vertical="center"/>
      <protection locked="0"/>
    </xf>
    <xf numFmtId="0" fontId="110" fillId="3" borderId="0" xfId="0" applyFont="1" applyFill="1" applyBorder="1" applyAlignment="1" applyProtection="1">
      <alignment horizontal="right" vertical="center"/>
    </xf>
    <xf numFmtId="165" fontId="108" fillId="21" borderId="169" xfId="0" applyNumberFormat="1" applyFont="1" applyFill="1" applyBorder="1" applyAlignment="1" applyProtection="1">
      <alignment horizontal="center" vertical="center"/>
    </xf>
    <xf numFmtId="165" fontId="94" fillId="3" borderId="131" xfId="0" applyNumberFormat="1" applyFont="1" applyFill="1" applyBorder="1" applyAlignment="1" applyProtection="1">
      <alignment horizontal="center" vertical="center"/>
      <protection locked="0"/>
    </xf>
    <xf numFmtId="165" fontId="94" fillId="3" borderId="129" xfId="0" applyNumberFormat="1" applyFont="1" applyFill="1" applyBorder="1" applyAlignment="1" applyProtection="1">
      <alignment horizontal="center" vertical="center"/>
      <protection locked="0"/>
    </xf>
    <xf numFmtId="165" fontId="94" fillId="3" borderId="69" xfId="0" applyNumberFormat="1" applyFont="1" applyFill="1" applyBorder="1" applyAlignment="1" applyProtection="1">
      <alignment horizontal="center" vertical="center"/>
      <protection locked="0"/>
    </xf>
    <xf numFmtId="165" fontId="94" fillId="3" borderId="67" xfId="0" applyNumberFormat="1" applyFont="1" applyFill="1" applyBorder="1" applyAlignment="1" applyProtection="1">
      <alignment horizontal="center" vertical="center"/>
      <protection locked="0"/>
    </xf>
    <xf numFmtId="0" fontId="55" fillId="30" borderId="43" xfId="0" applyFont="1" applyFill="1" applyBorder="1" applyAlignment="1" applyProtection="1">
      <alignment horizontal="center" vertical="center"/>
    </xf>
    <xf numFmtId="165" fontId="94" fillId="3" borderId="71" xfId="0" applyNumberFormat="1" applyFont="1" applyFill="1" applyBorder="1" applyAlignment="1" applyProtection="1">
      <alignment horizontal="center" vertical="center"/>
      <protection locked="0"/>
    </xf>
    <xf numFmtId="0" fontId="55" fillId="30" borderId="37" xfId="0" applyFont="1" applyFill="1" applyBorder="1" applyAlignment="1" applyProtection="1">
      <alignment horizontal="center" vertical="center"/>
    </xf>
    <xf numFmtId="0" fontId="55" fillId="30" borderId="42" xfId="0" applyFont="1" applyFill="1" applyBorder="1" applyAlignment="1" applyProtection="1">
      <alignment horizontal="center" vertical="center"/>
    </xf>
    <xf numFmtId="165" fontId="94" fillId="3" borderId="73" xfId="0" applyNumberFormat="1" applyFont="1" applyFill="1" applyBorder="1" applyAlignment="1" applyProtection="1">
      <alignment horizontal="center" vertical="center"/>
      <protection locked="0"/>
    </xf>
    <xf numFmtId="165" fontId="94" fillId="3" borderId="130" xfId="0" applyNumberFormat="1" applyFont="1" applyFill="1" applyBorder="1" applyAlignment="1" applyProtection="1">
      <alignment horizontal="center" vertical="center"/>
      <protection locked="0"/>
    </xf>
    <xf numFmtId="165" fontId="108" fillId="20" borderId="171" xfId="0" applyNumberFormat="1" applyFont="1" applyFill="1" applyBorder="1" applyAlignment="1" applyProtection="1">
      <alignment horizontal="center" vertical="center"/>
    </xf>
    <xf numFmtId="165" fontId="108" fillId="20" borderId="172" xfId="0" applyNumberFormat="1" applyFont="1" applyFill="1" applyBorder="1" applyAlignment="1" applyProtection="1">
      <alignment horizontal="center" vertical="center"/>
    </xf>
    <xf numFmtId="165" fontId="94" fillId="3" borderId="128" xfId="0" applyNumberFormat="1" applyFont="1" applyFill="1" applyBorder="1" applyAlignment="1" applyProtection="1">
      <alignment horizontal="center" vertical="center"/>
      <protection locked="0"/>
    </xf>
    <xf numFmtId="165" fontId="108" fillId="21" borderId="260" xfId="0" applyNumberFormat="1" applyFont="1" applyFill="1" applyBorder="1" applyAlignment="1" applyProtection="1">
      <alignment horizontal="center" vertical="center"/>
    </xf>
    <xf numFmtId="165" fontId="108" fillId="21" borderId="261" xfId="0" applyNumberFormat="1" applyFont="1" applyFill="1" applyBorder="1" applyAlignment="1" applyProtection="1">
      <alignment horizontal="center" vertical="center"/>
    </xf>
    <xf numFmtId="165" fontId="108" fillId="20" borderId="129" xfId="0" applyNumberFormat="1" applyFont="1" applyFill="1" applyBorder="1" applyAlignment="1" applyProtection="1">
      <alignment horizontal="center" vertical="center"/>
    </xf>
    <xf numFmtId="165" fontId="108" fillId="20" borderId="128" xfId="0" applyNumberFormat="1" applyFont="1" applyFill="1" applyBorder="1" applyAlignment="1" applyProtection="1">
      <alignment horizontal="center" vertical="center"/>
    </xf>
    <xf numFmtId="165" fontId="108" fillId="20" borderId="178" xfId="0" applyNumberFormat="1" applyFont="1" applyFill="1" applyBorder="1" applyAlignment="1" applyProtection="1">
      <alignment horizontal="center" vertical="center"/>
    </xf>
    <xf numFmtId="165" fontId="108" fillId="20" borderId="177" xfId="0" applyNumberFormat="1" applyFont="1" applyFill="1" applyBorder="1" applyAlignment="1" applyProtection="1">
      <alignment horizontal="center" vertical="center"/>
    </xf>
    <xf numFmtId="0" fontId="24" fillId="0" borderId="11" xfId="0" applyFont="1" applyFill="1" applyBorder="1" applyAlignment="1" applyProtection="1">
      <alignment horizontal="center" vertical="center" wrapText="1"/>
    </xf>
    <xf numFmtId="0" fontId="24" fillId="0" borderId="11" xfId="0" applyFont="1" applyFill="1" applyBorder="1" applyAlignment="1" applyProtection="1">
      <alignment horizontal="center" vertical="top" wrapText="1"/>
    </xf>
    <xf numFmtId="165" fontId="108" fillId="20" borderId="180" xfId="0" applyNumberFormat="1" applyFont="1" applyFill="1" applyBorder="1" applyAlignment="1" applyProtection="1">
      <alignment horizontal="center" vertical="center"/>
    </xf>
    <xf numFmtId="165" fontId="108" fillId="20" borderId="181" xfId="0" applyNumberFormat="1" applyFont="1" applyFill="1" applyBorder="1" applyAlignment="1" applyProtection="1">
      <alignment horizontal="center" vertical="center"/>
    </xf>
    <xf numFmtId="165" fontId="108" fillId="22" borderId="230" xfId="0" applyNumberFormat="1" applyFont="1" applyFill="1" applyBorder="1" applyAlignment="1" applyProtection="1">
      <alignment horizontal="center" vertical="center"/>
    </xf>
    <xf numFmtId="165" fontId="108" fillId="22" borderId="231" xfId="0" applyNumberFormat="1" applyFont="1" applyFill="1" applyBorder="1" applyAlignment="1" applyProtection="1">
      <alignment horizontal="center" vertical="center"/>
    </xf>
    <xf numFmtId="165" fontId="108" fillId="21" borderId="212" xfId="0" applyNumberFormat="1" applyFont="1" applyFill="1" applyBorder="1" applyAlignment="1" applyProtection="1">
      <alignment horizontal="center" vertical="center"/>
    </xf>
    <xf numFmtId="165" fontId="108" fillId="21" borderId="213" xfId="0" applyNumberFormat="1" applyFont="1" applyFill="1" applyBorder="1" applyAlignment="1" applyProtection="1">
      <alignment horizontal="center" vertical="center"/>
    </xf>
    <xf numFmtId="165" fontId="108" fillId="22" borderId="229" xfId="0" applyNumberFormat="1" applyFont="1" applyFill="1" applyBorder="1" applyAlignment="1" applyProtection="1">
      <alignment horizontal="center" vertical="center"/>
    </xf>
    <xf numFmtId="165" fontId="108" fillId="21" borderId="179" xfId="0" applyNumberFormat="1" applyFont="1" applyFill="1" applyBorder="1" applyAlignment="1" applyProtection="1">
      <alignment horizontal="center" vertical="center"/>
    </xf>
    <xf numFmtId="165" fontId="108" fillId="21" borderId="180" xfId="0" applyNumberFormat="1" applyFont="1" applyFill="1" applyBorder="1" applyAlignment="1" applyProtection="1">
      <alignment horizontal="center" vertical="center"/>
    </xf>
    <xf numFmtId="0" fontId="123" fillId="3" borderId="0" xfId="0" applyFont="1" applyFill="1" applyBorder="1" applyAlignment="1" applyProtection="1">
      <alignment horizontal="right" vertical="top"/>
    </xf>
    <xf numFmtId="165" fontId="94" fillId="3" borderId="199" xfId="0" applyNumberFormat="1" applyFont="1" applyFill="1" applyBorder="1" applyAlignment="1" applyProtection="1">
      <alignment horizontal="center" vertical="center"/>
      <protection locked="0"/>
    </xf>
    <xf numFmtId="165" fontId="94" fillId="3" borderId="200" xfId="0" applyNumberFormat="1" applyFont="1" applyFill="1" applyBorder="1" applyAlignment="1" applyProtection="1">
      <alignment horizontal="center" vertical="center"/>
      <protection locked="0"/>
    </xf>
    <xf numFmtId="165" fontId="94" fillId="3" borderId="201" xfId="0" applyNumberFormat="1" applyFont="1" applyFill="1" applyBorder="1" applyAlignment="1" applyProtection="1">
      <alignment horizontal="center" vertical="center"/>
      <protection locked="0"/>
    </xf>
    <xf numFmtId="165" fontId="94" fillId="3" borderId="177" xfId="0" applyNumberFormat="1" applyFont="1" applyFill="1" applyBorder="1" applyAlignment="1" applyProtection="1">
      <alignment horizontal="center" vertical="center"/>
      <protection locked="0"/>
    </xf>
    <xf numFmtId="0" fontId="110" fillId="0" borderId="0" xfId="0" applyFont="1" applyAlignment="1" applyProtection="1">
      <alignment horizontal="right" vertical="center"/>
    </xf>
    <xf numFmtId="0" fontId="110" fillId="0" borderId="0" xfId="0" applyFont="1" applyBorder="1" applyAlignment="1" applyProtection="1">
      <alignment horizontal="right" vertical="center"/>
    </xf>
    <xf numFmtId="0" fontId="38" fillId="0" borderId="0" xfId="0" applyFont="1" applyAlignment="1" applyProtection="1">
      <alignment horizontal="right"/>
    </xf>
    <xf numFmtId="0" fontId="21" fillId="3" borderId="32" xfId="17" applyFont="1" applyFill="1" applyBorder="1" applyAlignment="1" applyProtection="1">
      <alignment horizontal="center" vertical="center"/>
      <protection locked="0"/>
    </xf>
    <xf numFmtId="0" fontId="21" fillId="3" borderId="29" xfId="17" applyFont="1" applyFill="1" applyBorder="1" applyAlignment="1" applyProtection="1">
      <alignment horizontal="center" vertical="center"/>
      <protection locked="0"/>
    </xf>
    <xf numFmtId="0" fontId="95" fillId="0" borderId="0" xfId="0" applyFont="1" applyFill="1" applyBorder="1" applyAlignment="1" applyProtection="1">
      <alignment horizontal="left" vertical="center" wrapText="1"/>
    </xf>
    <xf numFmtId="0" fontId="82" fillId="3" borderId="30" xfId="0" applyFont="1" applyFill="1" applyBorder="1" applyAlignment="1" applyProtection="1">
      <alignment horizontal="center" vertical="center" wrapText="1"/>
      <protection locked="0"/>
    </xf>
    <xf numFmtId="0" fontId="82" fillId="3" borderId="31" xfId="0" applyFont="1" applyFill="1" applyBorder="1" applyAlignment="1" applyProtection="1">
      <alignment horizontal="center" vertical="center" wrapText="1"/>
      <protection locked="0"/>
    </xf>
    <xf numFmtId="0" fontId="57" fillId="13" borderId="55" xfId="19" applyFont="1" applyFill="1" applyBorder="1" applyAlignment="1" applyProtection="1">
      <alignment horizontal="center" vertical="top" wrapText="1"/>
      <protection locked="0"/>
    </xf>
    <xf numFmtId="0" fontId="64" fillId="0" borderId="0" xfId="17" applyFont="1" applyFill="1" applyBorder="1" applyAlignment="1" applyProtection="1">
      <alignment horizontal="right"/>
    </xf>
    <xf numFmtId="0" fontId="64" fillId="0" borderId="0" xfId="17" applyFont="1" applyFill="1" applyBorder="1" applyAlignment="1" applyProtection="1">
      <alignment horizontal="right" vertical="top" wrapText="1"/>
    </xf>
    <xf numFmtId="0" fontId="58" fillId="0" borderId="46" xfId="17" applyFont="1" applyFill="1" applyBorder="1" applyAlignment="1" applyProtection="1">
      <alignment horizontal="right" vertical="center"/>
    </xf>
    <xf numFmtId="0" fontId="58" fillId="0" borderId="0" xfId="17" applyFont="1" applyFill="1" applyBorder="1" applyAlignment="1" applyProtection="1">
      <alignment horizontal="right" vertical="center"/>
    </xf>
    <xf numFmtId="0" fontId="58" fillId="0" borderId="55" xfId="17" applyFont="1" applyFill="1" applyBorder="1" applyAlignment="1" applyProtection="1">
      <alignment horizontal="right" vertical="center"/>
    </xf>
    <xf numFmtId="0" fontId="58" fillId="0" borderId="0" xfId="3" applyFont="1" applyFill="1" applyBorder="1" applyAlignment="1" applyProtection="1">
      <alignment horizontal="right" vertical="center"/>
    </xf>
    <xf numFmtId="0" fontId="59" fillId="0" borderId="0" xfId="0" applyFont="1" applyFill="1" applyBorder="1" applyAlignment="1" applyProtection="1">
      <alignment horizontal="right" vertical="top"/>
    </xf>
    <xf numFmtId="0" fontId="61" fillId="3" borderId="0" xfId="0" applyFont="1" applyFill="1" applyAlignment="1" applyProtection="1">
      <alignment horizontal="right" vertical="top"/>
    </xf>
    <xf numFmtId="49" fontId="16" fillId="3" borderId="0" xfId="0" applyNumberFormat="1" applyFont="1" applyFill="1" applyBorder="1" applyAlignment="1" applyProtection="1">
      <alignment horizontal="center" vertical="center"/>
    </xf>
    <xf numFmtId="49" fontId="16" fillId="0" borderId="0" xfId="0" applyNumberFormat="1" applyFont="1" applyBorder="1" applyAlignment="1" applyProtection="1">
      <alignment horizontal="center"/>
    </xf>
    <xf numFmtId="0" fontId="59" fillId="3" borderId="0" xfId="0" applyFont="1" applyFill="1" applyBorder="1" applyAlignment="1" applyProtection="1">
      <alignment horizontal="right" vertical="top"/>
    </xf>
    <xf numFmtId="0" fontId="58" fillId="0" borderId="46" xfId="18" applyFont="1" applyFill="1" applyBorder="1" applyAlignment="1" applyProtection="1">
      <alignment horizontal="right" vertical="center"/>
    </xf>
    <xf numFmtId="0" fontId="58" fillId="0" borderId="0" xfId="18" applyFont="1" applyFill="1" applyBorder="1" applyAlignment="1" applyProtection="1">
      <alignment horizontal="right" vertical="center"/>
    </xf>
    <xf numFmtId="0" fontId="58" fillId="0" borderId="55" xfId="18" applyFont="1" applyFill="1" applyBorder="1" applyAlignment="1" applyProtection="1">
      <alignment horizontal="right" vertical="center"/>
    </xf>
    <xf numFmtId="0" fontId="58" fillId="0" borderId="51" xfId="17" applyFont="1" applyFill="1" applyBorder="1" applyAlignment="1" applyProtection="1">
      <alignment horizontal="right" vertical="center"/>
    </xf>
    <xf numFmtId="0" fontId="21" fillId="0" borderId="32" xfId="17" applyFont="1" applyFill="1" applyBorder="1" applyAlignment="1" applyProtection="1">
      <alignment horizontal="center" vertical="center"/>
      <protection locked="0"/>
    </xf>
    <xf numFmtId="0" fontId="21" fillId="0" borderId="29" xfId="17" applyFont="1" applyFill="1" applyBorder="1" applyAlignment="1" applyProtection="1">
      <alignment horizontal="center" vertical="center"/>
      <protection locked="0"/>
    </xf>
    <xf numFmtId="0" fontId="40" fillId="3" borderId="24" xfId="17" applyFont="1" applyFill="1" applyBorder="1" applyAlignment="1" applyProtection="1">
      <alignment horizontal="center" vertical="center" wrapText="1"/>
    </xf>
    <xf numFmtId="0" fontId="40" fillId="3" borderId="51" xfId="17" applyFont="1" applyFill="1" applyBorder="1" applyAlignment="1" applyProtection="1">
      <alignment horizontal="center" vertical="center" wrapText="1"/>
    </xf>
    <xf numFmtId="0" fontId="40" fillId="3" borderId="33" xfId="17" applyFont="1" applyFill="1" applyBorder="1" applyAlignment="1" applyProtection="1">
      <alignment horizontal="center" vertical="center" wrapText="1"/>
    </xf>
    <xf numFmtId="0" fontId="122" fillId="0" borderId="290" xfId="0" applyFont="1" applyBorder="1" applyAlignment="1" applyProtection="1">
      <alignment horizontal="left" vertical="center"/>
    </xf>
    <xf numFmtId="0" fontId="122" fillId="0" borderId="287" xfId="0" applyFont="1" applyBorder="1" applyAlignment="1" applyProtection="1">
      <alignment horizontal="left" vertical="center"/>
    </xf>
    <xf numFmtId="0" fontId="38" fillId="0" borderId="0" xfId="0" applyFont="1" applyAlignment="1" applyProtection="1">
      <alignment horizontal="right" vertical="center"/>
    </xf>
    <xf numFmtId="0" fontId="38" fillId="0" borderId="287" xfId="0" applyFont="1" applyBorder="1" applyAlignment="1" applyProtection="1">
      <alignment horizontal="right" vertical="center"/>
    </xf>
    <xf numFmtId="0" fontId="21" fillId="0" borderId="288" xfId="0" applyFont="1" applyBorder="1" applyAlignment="1" applyProtection="1">
      <alignment horizontal="center" vertical="center"/>
      <protection locked="0"/>
    </xf>
    <xf numFmtId="0" fontId="21" fillId="0" borderId="286" xfId="0" applyFont="1" applyBorder="1" applyAlignment="1" applyProtection="1">
      <alignment horizontal="center" vertical="center"/>
      <protection locked="0"/>
    </xf>
    <xf numFmtId="0" fontId="21" fillId="0" borderId="289" xfId="0" applyFont="1" applyBorder="1" applyAlignment="1" applyProtection="1">
      <alignment horizontal="center" vertical="center"/>
      <protection locked="0"/>
    </xf>
    <xf numFmtId="0" fontId="68" fillId="0" borderId="0" xfId="0" applyFont="1" applyAlignment="1" applyProtection="1">
      <alignment horizontal="right" vertical="top"/>
    </xf>
    <xf numFmtId="0" fontId="59" fillId="3" borderId="0" xfId="0" applyFont="1" applyFill="1" applyBorder="1" applyAlignment="1" applyProtection="1">
      <alignment horizontal="right"/>
    </xf>
    <xf numFmtId="0" fontId="59" fillId="3" borderId="0" xfId="0" applyFont="1" applyFill="1" applyBorder="1" applyAlignment="1" applyProtection="1">
      <alignment horizontal="right" vertical="center"/>
    </xf>
    <xf numFmtId="0" fontId="24" fillId="0" borderId="0" xfId="0" applyFont="1" applyBorder="1" applyAlignment="1" applyProtection="1">
      <alignment horizontal="right" vertical="center" wrapText="1"/>
    </xf>
    <xf numFmtId="0" fontId="89" fillId="0" borderId="0" xfId="0" applyFont="1" applyAlignment="1" applyProtection="1">
      <alignment horizontal="left" vertical="center"/>
    </xf>
    <xf numFmtId="0" fontId="131" fillId="0" borderId="0" xfId="0" applyFont="1" applyFill="1" applyBorder="1" applyAlignment="1" applyProtection="1">
      <alignment horizontal="left" vertical="center"/>
    </xf>
    <xf numFmtId="0" fontId="68" fillId="3" borderId="0" xfId="0" applyFont="1" applyFill="1" applyBorder="1" applyAlignment="1" applyProtection="1">
      <alignment horizontal="center"/>
    </xf>
    <xf numFmtId="0" fontId="82" fillId="0" borderId="30" xfId="0" applyFont="1" applyFill="1" applyBorder="1" applyAlignment="1" applyProtection="1">
      <alignment horizontal="center" vertical="top" wrapText="1"/>
      <protection locked="0"/>
    </xf>
    <xf numFmtId="0" fontId="82" fillId="0" borderId="31" xfId="0" applyFont="1" applyFill="1" applyBorder="1" applyAlignment="1" applyProtection="1">
      <alignment horizontal="center" vertical="top" wrapText="1"/>
      <protection locked="0"/>
    </xf>
    <xf numFmtId="0" fontId="21" fillId="0" borderId="32" xfId="0" applyFont="1" applyBorder="1" applyAlignment="1" applyProtection="1">
      <alignment horizontal="left" vertical="center"/>
      <protection locked="0"/>
    </xf>
    <xf numFmtId="0" fontId="21" fillId="0" borderId="29" xfId="0" applyFont="1" applyBorder="1" applyAlignment="1" applyProtection="1">
      <alignment horizontal="left" vertical="center"/>
      <protection locked="0"/>
    </xf>
    <xf numFmtId="0" fontId="21" fillId="0" borderId="14" xfId="0" applyFont="1" applyBorder="1" applyAlignment="1" applyProtection="1">
      <alignment horizontal="left" vertical="center"/>
      <protection locked="0"/>
    </xf>
    <xf numFmtId="0" fontId="57" fillId="0" borderId="0" xfId="0" applyFont="1" applyAlignment="1" applyProtection="1">
      <alignment horizontal="right" vertical="center"/>
    </xf>
    <xf numFmtId="0" fontId="21" fillId="3" borderId="92" xfId="0" applyFont="1" applyFill="1" applyBorder="1" applyAlignment="1" applyProtection="1">
      <alignment horizontal="left" vertical="center"/>
      <protection locked="0"/>
    </xf>
    <xf numFmtId="0" fontId="21" fillId="3" borderId="112" xfId="0" applyFont="1" applyFill="1" applyBorder="1" applyAlignment="1" applyProtection="1">
      <alignment horizontal="left" vertical="center"/>
      <protection locked="0"/>
    </xf>
    <xf numFmtId="0" fontId="21" fillId="3" borderId="68" xfId="0" applyFont="1" applyFill="1" applyBorder="1" applyAlignment="1" applyProtection="1">
      <alignment horizontal="left" vertical="center"/>
      <protection locked="0"/>
    </xf>
    <xf numFmtId="0" fontId="59" fillId="3" borderId="9" xfId="0" applyFont="1" applyFill="1" applyBorder="1" applyAlignment="1" applyProtection="1">
      <alignment horizontal="right" vertical="center"/>
    </xf>
    <xf numFmtId="0" fontId="59" fillId="3" borderId="10" xfId="0" applyFont="1" applyFill="1" applyBorder="1" applyAlignment="1" applyProtection="1">
      <alignment horizontal="right" vertical="center"/>
    </xf>
    <xf numFmtId="0" fontId="59" fillId="3" borderId="8" xfId="0" applyFont="1" applyFill="1" applyBorder="1" applyAlignment="1" applyProtection="1">
      <alignment horizontal="right" vertical="center"/>
    </xf>
    <xf numFmtId="0" fontId="131" fillId="3" borderId="0" xfId="0" applyFont="1" applyFill="1" applyBorder="1" applyAlignment="1" applyProtection="1">
      <alignment horizontal="left"/>
    </xf>
    <xf numFmtId="9" fontId="34" fillId="30" borderId="237" xfId="0" applyNumberFormat="1" applyFont="1" applyFill="1" applyBorder="1" applyAlignment="1" applyProtection="1">
      <alignment horizontal="center" vertical="center"/>
    </xf>
    <xf numFmtId="9" fontId="34" fillId="30" borderId="268" xfId="0" applyNumberFormat="1" applyFont="1" applyFill="1" applyBorder="1" applyAlignment="1" applyProtection="1">
      <alignment horizontal="center" vertical="center"/>
    </xf>
    <xf numFmtId="0" fontId="34" fillId="30" borderId="239" xfId="0" applyFont="1" applyFill="1" applyBorder="1" applyAlignment="1" applyProtection="1">
      <alignment horizontal="center" vertical="center" wrapText="1"/>
    </xf>
    <xf numFmtId="0" fontId="34" fillId="30" borderId="270" xfId="0" applyFont="1" applyFill="1" applyBorder="1" applyAlignment="1" applyProtection="1">
      <alignment horizontal="center" vertical="center" wrapText="1"/>
    </xf>
    <xf numFmtId="9" fontId="34" fillId="30" borderId="238" xfId="0" applyNumberFormat="1" applyFont="1" applyFill="1" applyBorder="1" applyAlignment="1" applyProtection="1">
      <alignment horizontal="center" vertical="center" wrapText="1"/>
    </xf>
    <xf numFmtId="9" fontId="34" fillId="30" borderId="269" xfId="0" applyNumberFormat="1" applyFont="1" applyFill="1" applyBorder="1" applyAlignment="1" applyProtection="1">
      <alignment horizontal="center" vertical="center" wrapText="1"/>
    </xf>
    <xf numFmtId="9" fontId="34" fillId="30" borderId="238" xfId="0" quotePrefix="1" applyNumberFormat="1" applyFont="1" applyFill="1" applyBorder="1" applyAlignment="1" applyProtection="1">
      <alignment horizontal="center" vertical="center" wrapText="1"/>
    </xf>
    <xf numFmtId="9" fontId="34" fillId="30" borderId="269" xfId="0" quotePrefix="1" applyNumberFormat="1" applyFont="1" applyFill="1" applyBorder="1" applyAlignment="1" applyProtection="1">
      <alignment horizontal="center" vertical="center" wrapText="1"/>
    </xf>
    <xf numFmtId="9" fontId="34" fillId="30" borderId="238" xfId="0" applyNumberFormat="1" applyFont="1" applyFill="1" applyBorder="1" applyAlignment="1" applyProtection="1">
      <alignment horizontal="center" vertical="center"/>
    </xf>
    <xf numFmtId="9" fontId="34" fillId="30" borderId="269" xfId="0" applyNumberFormat="1" applyFont="1" applyFill="1" applyBorder="1" applyAlignment="1" applyProtection="1">
      <alignment horizontal="center" vertical="center"/>
    </xf>
    <xf numFmtId="0" fontId="34" fillId="30" borderId="238" xfId="0" applyFont="1" applyFill="1" applyBorder="1" applyAlignment="1" applyProtection="1">
      <alignment horizontal="center" vertical="center"/>
    </xf>
    <xf numFmtId="0" fontId="34" fillId="30" borderId="269" xfId="0" applyFont="1" applyFill="1" applyBorder="1" applyAlignment="1" applyProtection="1">
      <alignment horizontal="center" vertical="center"/>
    </xf>
    <xf numFmtId="0" fontId="18" fillId="3" borderId="278" xfId="0" applyFont="1" applyFill="1" applyBorder="1" applyAlignment="1" applyProtection="1">
      <alignment horizontal="left"/>
    </xf>
    <xf numFmtId="0" fontId="94" fillId="0" borderId="0" xfId="0" applyFont="1" applyAlignment="1">
      <alignment horizontal="right" vertical="center"/>
    </xf>
    <xf numFmtId="0" fontId="123" fillId="3" borderId="167" xfId="0" applyFont="1" applyFill="1" applyBorder="1" applyAlignment="1" applyProtection="1">
      <alignment horizontal="right" vertical="center"/>
      <protection locked="0"/>
    </xf>
    <xf numFmtId="0" fontId="123" fillId="3" borderId="147" xfId="0" applyFont="1" applyFill="1" applyBorder="1" applyAlignment="1" applyProtection="1">
      <alignment horizontal="right" vertical="center"/>
      <protection locked="0"/>
    </xf>
    <xf numFmtId="0" fontId="123" fillId="0" borderId="165" xfId="0" applyFont="1" applyBorder="1" applyAlignment="1" applyProtection="1">
      <alignment horizontal="right" vertical="center"/>
      <protection locked="0"/>
    </xf>
    <xf numFmtId="0" fontId="123" fillId="0" borderId="14" xfId="0" applyFont="1" applyBorder="1" applyAlignment="1" applyProtection="1">
      <alignment horizontal="right" vertical="center"/>
      <protection locked="0"/>
    </xf>
    <xf numFmtId="0" fontId="123" fillId="0" borderId="163" xfId="0" applyFont="1" applyBorder="1" applyAlignment="1" applyProtection="1">
      <alignment horizontal="right" vertical="center"/>
      <protection locked="0"/>
    </xf>
    <xf numFmtId="0" fontId="123" fillId="0" borderId="149" xfId="0" applyFont="1" applyBorder="1" applyAlignment="1" applyProtection="1">
      <alignment horizontal="right" vertical="center"/>
      <protection locked="0"/>
    </xf>
    <xf numFmtId="0" fontId="94" fillId="3" borderId="0" xfId="0" applyFont="1" applyFill="1" applyBorder="1" applyAlignment="1" applyProtection="1">
      <alignment horizontal="right" vertical="center"/>
    </xf>
    <xf numFmtId="0" fontId="94" fillId="3" borderId="65" xfId="0" applyFont="1" applyFill="1" applyBorder="1" applyAlignment="1" applyProtection="1">
      <alignment horizontal="right" vertical="center"/>
    </xf>
    <xf numFmtId="0" fontId="123" fillId="0" borderId="166" xfId="0" applyFont="1" applyBorder="1" applyAlignment="1" applyProtection="1">
      <alignment horizontal="right" vertical="center"/>
      <protection locked="0"/>
    </xf>
    <xf numFmtId="0" fontId="123" fillId="0" borderId="164" xfId="0" applyFont="1" applyBorder="1" applyAlignment="1" applyProtection="1">
      <alignment horizontal="right" vertical="center"/>
      <protection locked="0"/>
    </xf>
    <xf numFmtId="0" fontId="150" fillId="3" borderId="0" xfId="0" applyFont="1" applyFill="1" applyBorder="1" applyAlignment="1" applyProtection="1">
      <alignment horizontal="right"/>
    </xf>
    <xf numFmtId="0" fontId="150" fillId="3" borderId="0" xfId="0" applyFont="1" applyFill="1" applyBorder="1" applyAlignment="1" applyProtection="1">
      <alignment horizontal="center"/>
    </xf>
    <xf numFmtId="0" fontId="123" fillId="3" borderId="0" xfId="0" applyFont="1" applyFill="1" applyBorder="1" applyAlignment="1" applyProtection="1">
      <alignment horizontal="right" vertical="center" wrapText="1"/>
    </xf>
    <xf numFmtId="0" fontId="155" fillId="3" borderId="0" xfId="0" applyFont="1" applyFill="1" applyBorder="1" applyAlignment="1" applyProtection="1">
      <alignment horizontal="left" vertical="top"/>
    </xf>
    <xf numFmtId="0" fontId="110" fillId="3" borderId="0" xfId="0" applyFont="1" applyFill="1" applyBorder="1" applyAlignment="1" applyProtection="1">
      <alignment horizontal="right"/>
    </xf>
    <xf numFmtId="0" fontId="18" fillId="3" borderId="277" xfId="0" applyFont="1" applyFill="1" applyBorder="1" applyAlignment="1" applyProtection="1">
      <alignment horizontal="left"/>
    </xf>
    <xf numFmtId="165" fontId="21" fillId="23" borderId="205" xfId="1" applyNumberFormat="1" applyFont="1" applyFill="1" applyBorder="1" applyAlignment="1" applyProtection="1">
      <alignment horizontal="center" vertical="center"/>
    </xf>
    <xf numFmtId="165" fontId="21" fillId="23" borderId="31" xfId="1" applyNumberFormat="1" applyFont="1" applyFill="1" applyBorder="1" applyAlignment="1" applyProtection="1">
      <alignment horizontal="center" vertical="center"/>
    </xf>
    <xf numFmtId="165" fontId="21" fillId="23" borderId="279" xfId="1" applyNumberFormat="1" applyFont="1" applyFill="1" applyBorder="1" applyAlignment="1" applyProtection="1">
      <alignment horizontal="center" vertical="center"/>
    </xf>
    <xf numFmtId="0" fontId="123" fillId="3" borderId="168" xfId="0" applyFont="1" applyFill="1" applyBorder="1" applyAlignment="1" applyProtection="1">
      <alignment horizontal="right" vertical="center"/>
      <protection locked="0"/>
    </xf>
    <xf numFmtId="0" fontId="18" fillId="3" borderId="277" xfId="0" applyFont="1" applyFill="1" applyBorder="1" applyAlignment="1" applyProtection="1">
      <alignment horizontal="left" wrapText="1"/>
    </xf>
    <xf numFmtId="0" fontId="21" fillId="0" borderId="4" xfId="0" applyFont="1" applyBorder="1" applyAlignment="1" applyProtection="1">
      <alignment horizontal="center"/>
    </xf>
    <xf numFmtId="165" fontId="21" fillId="23" borderId="211" xfId="1" applyNumberFormat="1" applyFont="1" applyFill="1" applyBorder="1" applyAlignment="1" applyProtection="1">
      <alignment horizontal="center" vertical="center"/>
    </xf>
    <xf numFmtId="165" fontId="21" fillId="23" borderId="280" xfId="1" applyNumberFormat="1" applyFont="1" applyFill="1" applyBorder="1" applyAlignment="1" applyProtection="1">
      <alignment horizontal="center" vertical="center"/>
    </xf>
    <xf numFmtId="165" fontId="21" fillId="23" borderId="281" xfId="1" applyNumberFormat="1" applyFont="1" applyFill="1" applyBorder="1" applyAlignment="1" applyProtection="1">
      <alignment horizontal="center" vertical="center"/>
    </xf>
    <xf numFmtId="165" fontId="21" fillId="23" borderId="89" xfId="1" applyNumberFormat="1" applyFont="1" applyFill="1" applyBorder="1" applyAlignment="1" applyProtection="1">
      <alignment horizontal="center" vertical="center"/>
    </xf>
    <xf numFmtId="165" fontId="21" fillId="23" borderId="207" xfId="1" applyNumberFormat="1" applyFont="1" applyFill="1" applyBorder="1" applyAlignment="1" applyProtection="1">
      <alignment horizontal="center" vertical="center"/>
    </xf>
    <xf numFmtId="165" fontId="21" fillId="23" borderId="90" xfId="1" applyNumberFormat="1" applyFont="1" applyFill="1" applyBorder="1" applyAlignment="1" applyProtection="1">
      <alignment horizontal="center" vertical="center"/>
    </xf>
    <xf numFmtId="0" fontId="0" fillId="3" borderId="0" xfId="0" applyFill="1" applyAlignment="1" applyProtection="1">
      <alignment horizontal="center" wrapText="1"/>
    </xf>
    <xf numFmtId="0" fontId="16" fillId="3" borderId="0" xfId="0" applyFont="1" applyFill="1" applyAlignment="1" applyProtection="1">
      <alignment horizontal="center" wrapText="1"/>
    </xf>
    <xf numFmtId="165" fontId="21" fillId="23" borderId="282" xfId="1" applyNumberFormat="1" applyFont="1" applyFill="1" applyBorder="1" applyAlignment="1" applyProtection="1">
      <alignment horizontal="center" vertical="center"/>
    </xf>
    <xf numFmtId="0" fontId="10" fillId="0" borderId="4" xfId="0" applyFont="1" applyBorder="1" applyAlignment="1" applyProtection="1">
      <alignment horizontal="center"/>
    </xf>
    <xf numFmtId="0" fontId="16" fillId="0" borderId="0" xfId="0" applyFont="1" applyBorder="1" applyAlignment="1" applyProtection="1">
      <alignment horizontal="center" wrapText="1"/>
    </xf>
    <xf numFmtId="0" fontId="16" fillId="0" borderId="4" xfId="0" applyFont="1" applyBorder="1" applyAlignment="1" applyProtection="1">
      <alignment horizontal="center" wrapText="1"/>
    </xf>
    <xf numFmtId="0" fontId="0" fillId="0" borderId="0" xfId="0" applyAlignment="1" applyProtection="1">
      <alignment horizontal="center" wrapText="1"/>
    </xf>
    <xf numFmtId="0" fontId="0" fillId="0" borderId="4" xfId="0" applyBorder="1" applyAlignment="1" applyProtection="1">
      <alignment horizontal="center" wrapText="1"/>
    </xf>
    <xf numFmtId="0" fontId="18" fillId="3" borderId="111" xfId="0" applyFont="1" applyFill="1" applyBorder="1" applyAlignment="1" applyProtection="1">
      <alignment horizontal="left"/>
    </xf>
    <xf numFmtId="0" fontId="21" fillId="0" borderId="0" xfId="0" applyFont="1" applyAlignment="1">
      <alignment horizontal="right" vertical="center"/>
    </xf>
    <xf numFmtId="0" fontId="107" fillId="3" borderId="0" xfId="0" applyFont="1" applyFill="1" applyBorder="1" applyAlignment="1" applyProtection="1">
      <alignment horizontal="right" vertical="center"/>
    </xf>
    <xf numFmtId="0" fontId="107" fillId="3" borderId="65" xfId="0" applyFont="1" applyFill="1" applyBorder="1" applyAlignment="1" applyProtection="1">
      <alignment horizontal="right" vertical="center"/>
    </xf>
    <xf numFmtId="0" fontId="123" fillId="3" borderId="16" xfId="0" applyFont="1" applyFill="1" applyBorder="1" applyAlignment="1" applyProtection="1">
      <alignment horizontal="right" vertical="center" wrapText="1"/>
    </xf>
    <xf numFmtId="0" fontId="58" fillId="3" borderId="0" xfId="0" applyFont="1" applyFill="1" applyBorder="1" applyAlignment="1" applyProtection="1">
      <alignment horizontal="right" vertical="center"/>
    </xf>
    <xf numFmtId="165" fontId="21" fillId="23" borderId="283" xfId="1" applyNumberFormat="1" applyFont="1" applyFill="1" applyBorder="1" applyAlignment="1" applyProtection="1">
      <alignment horizontal="center" vertical="center"/>
    </xf>
    <xf numFmtId="165" fontId="21" fillId="23" borderId="284" xfId="1" applyNumberFormat="1" applyFont="1" applyFill="1" applyBorder="1" applyAlignment="1" applyProtection="1">
      <alignment horizontal="center" vertical="center"/>
    </xf>
    <xf numFmtId="165" fontId="21" fillId="23" borderId="285" xfId="1" applyNumberFormat="1" applyFont="1" applyFill="1" applyBorder="1" applyAlignment="1" applyProtection="1">
      <alignment horizontal="center" vertical="center"/>
    </xf>
    <xf numFmtId="0" fontId="61" fillId="3" borderId="0" xfId="0" applyFont="1" applyFill="1" applyAlignment="1" applyProtection="1">
      <alignment horizontal="right" vertical="center"/>
    </xf>
    <xf numFmtId="0" fontId="59" fillId="0" borderId="0" xfId="0" applyFont="1" applyAlignment="1" applyProtection="1">
      <alignment horizontal="right" vertical="top"/>
    </xf>
    <xf numFmtId="0" fontId="18" fillId="3" borderId="0" xfId="0" applyFont="1" applyFill="1" applyBorder="1" applyAlignment="1" applyProtection="1">
      <alignment horizontal="left"/>
    </xf>
    <xf numFmtId="0" fontId="82" fillId="0" borderId="30" xfId="0" applyFont="1" applyBorder="1" applyAlignment="1">
      <alignment horizontal="center" vertical="top" wrapText="1"/>
    </xf>
    <xf numFmtId="0" fontId="82" fillId="0" borderId="31" xfId="0" applyFont="1" applyBorder="1" applyAlignment="1">
      <alignment horizontal="center" vertical="top" wrapText="1"/>
    </xf>
    <xf numFmtId="165" fontId="58" fillId="23" borderId="151" xfId="0" applyNumberFormat="1" applyFont="1" applyFill="1" applyBorder="1" applyAlignment="1" applyProtection="1">
      <alignment horizontal="center" vertical="center"/>
    </xf>
    <xf numFmtId="165" fontId="58" fillId="23" borderId="152" xfId="0" applyNumberFormat="1" applyFont="1" applyFill="1" applyBorder="1" applyAlignment="1" applyProtection="1">
      <alignment horizontal="center" vertical="center"/>
    </xf>
    <xf numFmtId="165" fontId="58" fillId="23" borderId="153" xfId="0" applyNumberFormat="1" applyFont="1" applyFill="1" applyBorder="1" applyAlignment="1" applyProtection="1">
      <alignment horizontal="center" vertical="center"/>
    </xf>
    <xf numFmtId="165" fontId="58" fillId="23" borderId="154" xfId="0" applyNumberFormat="1" applyFont="1" applyFill="1" applyBorder="1" applyAlignment="1" applyProtection="1">
      <alignment horizontal="center" vertical="center"/>
    </xf>
    <xf numFmtId="0" fontId="57" fillId="3" borderId="0" xfId="0" applyFont="1" applyFill="1" applyBorder="1" applyAlignment="1" applyProtection="1">
      <alignment horizontal="center"/>
    </xf>
    <xf numFmtId="0" fontId="89" fillId="0" borderId="0" xfId="0" applyFont="1" applyBorder="1" applyAlignment="1" applyProtection="1">
      <alignment horizontal="left" wrapText="1"/>
    </xf>
    <xf numFmtId="0" fontId="57" fillId="0" borderId="16" xfId="0" applyFont="1" applyBorder="1" applyAlignment="1" applyProtection="1">
      <alignment horizontal="right" vertical="center"/>
    </xf>
    <xf numFmtId="0" fontId="58" fillId="3" borderId="92" xfId="0" applyFont="1" applyFill="1" applyBorder="1" applyAlignment="1" applyProtection="1">
      <alignment horizontal="center" vertical="center"/>
      <protection locked="0"/>
    </xf>
    <xf numFmtId="0" fontId="58" fillId="3" borderId="133" xfId="0" applyFont="1" applyFill="1" applyBorder="1" applyAlignment="1" applyProtection="1">
      <alignment horizontal="center" vertical="center"/>
      <protection locked="0"/>
    </xf>
    <xf numFmtId="0" fontId="59" fillId="3" borderId="0" xfId="19" applyFont="1" applyFill="1" applyBorder="1" applyAlignment="1" applyProtection="1">
      <alignment horizontal="right" vertical="top"/>
    </xf>
    <xf numFmtId="0" fontId="21" fillId="0" borderId="92" xfId="0" applyFont="1" applyBorder="1" applyAlignment="1" applyProtection="1">
      <alignment horizontal="left" vertical="center"/>
      <protection locked="0"/>
    </xf>
    <xf numFmtId="0" fontId="21" fillId="0" borderId="68" xfId="0" applyFont="1" applyBorder="1" applyAlignment="1" applyProtection="1">
      <alignment horizontal="left" vertical="center"/>
      <protection locked="0"/>
    </xf>
    <xf numFmtId="0" fontId="34" fillId="17" borderId="235" xfId="0" applyFont="1" applyFill="1" applyBorder="1" applyAlignment="1" applyProtection="1">
      <alignment horizontal="center" vertical="center" wrapText="1"/>
    </xf>
    <xf numFmtId="0" fontId="34" fillId="17" borderId="236" xfId="0" applyFont="1" applyFill="1" applyBorder="1" applyAlignment="1" applyProtection="1">
      <alignment horizontal="center" vertical="center" wrapText="1"/>
    </xf>
    <xf numFmtId="0" fontId="120" fillId="3" borderId="0" xfId="0" applyFont="1" applyFill="1" applyBorder="1" applyAlignment="1" applyProtection="1">
      <alignment horizontal="center" wrapText="1"/>
    </xf>
    <xf numFmtId="9" fontId="34" fillId="17" borderId="34" xfId="0" applyNumberFormat="1" applyFont="1" applyFill="1" applyBorder="1" applyAlignment="1" applyProtection="1">
      <alignment horizontal="center" vertical="center"/>
    </xf>
    <xf numFmtId="9" fontId="34" fillId="17" borderId="40" xfId="0" applyNumberFormat="1" applyFont="1" applyFill="1" applyBorder="1" applyAlignment="1" applyProtection="1">
      <alignment horizontal="center" vertical="center"/>
    </xf>
    <xf numFmtId="0" fontId="34" fillId="17" borderId="35" xfId="0" applyFont="1" applyFill="1" applyBorder="1" applyAlignment="1" applyProtection="1">
      <alignment horizontal="center" vertical="center"/>
    </xf>
    <xf numFmtId="0" fontId="34" fillId="17" borderId="25" xfId="0" applyFont="1" applyFill="1" applyBorder="1" applyAlignment="1" applyProtection="1">
      <alignment horizontal="center" vertical="center"/>
    </xf>
    <xf numFmtId="9" fontId="34" fillId="17" borderId="35" xfId="0" quotePrefix="1" applyNumberFormat="1" applyFont="1" applyFill="1" applyBorder="1" applyAlignment="1" applyProtection="1">
      <alignment horizontal="center" vertical="center" wrapText="1"/>
    </xf>
    <xf numFmtId="9" fontId="34" fillId="17" borderId="25" xfId="0" quotePrefix="1" applyNumberFormat="1" applyFont="1" applyFill="1" applyBorder="1" applyAlignment="1" applyProtection="1">
      <alignment horizontal="center" vertical="center" wrapText="1"/>
    </xf>
    <xf numFmtId="9" fontId="34" fillId="17" borderId="35" xfId="0" applyNumberFormat="1" applyFont="1" applyFill="1" applyBorder="1" applyAlignment="1" applyProtection="1">
      <alignment horizontal="center" vertical="center" wrapText="1"/>
    </xf>
    <xf numFmtId="9" fontId="34" fillId="17" borderId="25" xfId="0" applyNumberFormat="1" applyFont="1" applyFill="1" applyBorder="1" applyAlignment="1" applyProtection="1">
      <alignment horizontal="center" vertical="center" wrapText="1"/>
    </xf>
    <xf numFmtId="9" fontId="34" fillId="17" borderId="35" xfId="0" applyNumberFormat="1" applyFont="1" applyFill="1" applyBorder="1" applyAlignment="1" applyProtection="1">
      <alignment horizontal="center" vertical="center"/>
    </xf>
    <xf numFmtId="9" fontId="34" fillId="17" borderId="25" xfId="0" applyNumberFormat="1" applyFont="1" applyFill="1" applyBorder="1" applyAlignment="1" applyProtection="1">
      <alignment horizontal="center" vertical="center"/>
    </xf>
    <xf numFmtId="0" fontId="58" fillId="18" borderId="19" xfId="0" applyFont="1" applyFill="1" applyBorder="1" applyAlignment="1" applyProtection="1">
      <alignment horizontal="center" vertical="center"/>
    </xf>
    <xf numFmtId="0" fontId="69" fillId="23" borderId="19" xfId="0" applyFont="1" applyFill="1" applyBorder="1" applyAlignment="1" applyProtection="1">
      <alignment horizontal="center" vertical="center"/>
    </xf>
    <xf numFmtId="0" fontId="42" fillId="30" borderId="37" xfId="9" applyFont="1" applyFill="1" applyBorder="1" applyAlignment="1" applyProtection="1">
      <alignment horizontal="center" vertical="top" wrapText="1"/>
    </xf>
    <xf numFmtId="0" fontId="42" fillId="30" borderId="43" xfId="9" applyFont="1" applyFill="1" applyBorder="1" applyAlignment="1" applyProtection="1">
      <alignment horizontal="center" vertical="top" wrapText="1"/>
    </xf>
    <xf numFmtId="0" fontId="69" fillId="3" borderId="118" xfId="9" applyFont="1" applyFill="1" applyBorder="1" applyAlignment="1" applyProtection="1">
      <alignment horizontal="left" vertical="center" wrapText="1"/>
    </xf>
    <xf numFmtId="0" fontId="69" fillId="3" borderId="119" xfId="9" applyFont="1" applyFill="1" applyBorder="1" applyAlignment="1" applyProtection="1">
      <alignment horizontal="left" vertical="center" wrapText="1"/>
    </xf>
    <xf numFmtId="0" fontId="69" fillId="3" borderId="123" xfId="9" applyFont="1" applyFill="1" applyBorder="1" applyAlignment="1" applyProtection="1">
      <alignment horizontal="left" vertical="center" wrapText="1"/>
    </xf>
    <xf numFmtId="0" fontId="69" fillId="3" borderId="13" xfId="9" applyFont="1" applyFill="1" applyBorder="1" applyAlignment="1" applyProtection="1">
      <alignment horizontal="left" vertical="center" wrapText="1"/>
    </xf>
    <xf numFmtId="0" fontId="69" fillId="3" borderId="5" xfId="9" applyFont="1" applyFill="1" applyBorder="1" applyAlignment="1" applyProtection="1">
      <alignment horizontal="left" vertical="center" wrapText="1"/>
    </xf>
    <xf numFmtId="0" fontId="69" fillId="3" borderId="271" xfId="9" applyFont="1" applyFill="1" applyBorder="1" applyAlignment="1" applyProtection="1">
      <alignment horizontal="left" vertical="center" wrapText="1"/>
    </xf>
    <xf numFmtId="0" fontId="69" fillId="3" borderId="120" xfId="9" applyFont="1" applyFill="1" applyBorder="1" applyAlignment="1" applyProtection="1">
      <alignment horizontal="left" vertical="center" wrapText="1"/>
    </xf>
    <xf numFmtId="0" fontId="69" fillId="3" borderId="1" xfId="9" applyFont="1" applyFill="1" applyBorder="1" applyAlignment="1" applyProtection="1">
      <alignment horizontal="left" vertical="center" wrapText="1"/>
    </xf>
    <xf numFmtId="0" fontId="69" fillId="3" borderId="124" xfId="9" applyFont="1" applyFill="1" applyBorder="1" applyAlignment="1" applyProtection="1">
      <alignment horizontal="left" vertical="center" wrapText="1"/>
    </xf>
    <xf numFmtId="0" fontId="69" fillId="3" borderId="121" xfId="9" applyFont="1" applyFill="1" applyBorder="1" applyAlignment="1" applyProtection="1">
      <alignment horizontal="left" vertical="center" wrapText="1"/>
    </xf>
    <xf numFmtId="0" fontId="69" fillId="3" borderId="122" xfId="9" applyFont="1" applyFill="1" applyBorder="1" applyAlignment="1" applyProtection="1">
      <alignment horizontal="left" vertical="center" wrapText="1"/>
    </xf>
    <xf numFmtId="0" fontId="69" fillId="3" borderId="125" xfId="9" applyFont="1" applyFill="1" applyBorder="1" applyAlignment="1" applyProtection="1">
      <alignment horizontal="left" vertical="center" wrapText="1"/>
    </xf>
    <xf numFmtId="0" fontId="132" fillId="0" borderId="0" xfId="9" applyFont="1" applyBorder="1" applyAlignment="1" applyProtection="1">
      <alignment horizontal="left"/>
    </xf>
    <xf numFmtId="0" fontId="42" fillId="30" borderId="37" xfId="9" applyFont="1" applyFill="1" applyBorder="1" applyAlignment="1" applyProtection="1">
      <alignment horizontal="center" vertical="center" wrapText="1"/>
    </xf>
    <xf numFmtId="0" fontId="42" fillId="30" borderId="43" xfId="9" applyFont="1" applyFill="1" applyBorder="1" applyAlignment="1" applyProtection="1">
      <alignment horizontal="center" vertical="center" wrapText="1"/>
    </xf>
    <xf numFmtId="0" fontId="69" fillId="3" borderId="136" xfId="9" applyFont="1" applyFill="1" applyBorder="1" applyAlignment="1" applyProtection="1">
      <alignment horizontal="left" vertical="center" wrapText="1"/>
    </xf>
    <xf numFmtId="0" fontId="69" fillId="3" borderId="117" xfId="9" applyFont="1" applyFill="1" applyBorder="1" applyAlignment="1" applyProtection="1">
      <alignment horizontal="left" vertical="center" wrapText="1"/>
    </xf>
    <xf numFmtId="0" fontId="69" fillId="3" borderId="137" xfId="9" applyFont="1" applyFill="1" applyBorder="1" applyAlignment="1" applyProtection="1">
      <alignment horizontal="left" vertical="center" wrapText="1"/>
    </xf>
    <xf numFmtId="0" fontId="69" fillId="3" borderId="138" xfId="9" applyFont="1" applyFill="1" applyBorder="1" applyAlignment="1" applyProtection="1">
      <alignment horizontal="left" vertical="center" wrapText="1"/>
    </xf>
    <xf numFmtId="0" fontId="69" fillId="3" borderId="139" xfId="9" applyFont="1" applyFill="1" applyBorder="1" applyAlignment="1" applyProtection="1">
      <alignment horizontal="left" vertical="center" wrapText="1"/>
    </xf>
    <xf numFmtId="0" fontId="69" fillId="3" borderId="140" xfId="9" applyFont="1" applyFill="1" applyBorder="1" applyAlignment="1" applyProtection="1">
      <alignment horizontal="left" vertical="center" wrapText="1"/>
    </xf>
    <xf numFmtId="0" fontId="58" fillId="10" borderId="30" xfId="9" applyFont="1" applyFill="1" applyBorder="1" applyAlignment="1" applyProtection="1">
      <alignment horizontal="center" vertical="center" wrapText="1"/>
    </xf>
    <xf numFmtId="0" fontId="58" fillId="10" borderId="31" xfId="9" applyFont="1" applyFill="1" applyBorder="1" applyAlignment="1" applyProtection="1">
      <alignment horizontal="center" vertical="center" wrapText="1"/>
    </xf>
    <xf numFmtId="0" fontId="58" fillId="10" borderId="21" xfId="9" applyFont="1" applyFill="1" applyBorder="1" applyAlignment="1" applyProtection="1">
      <alignment horizontal="center" vertical="center" wrapText="1"/>
    </xf>
    <xf numFmtId="0" fontId="58" fillId="3" borderId="143" xfId="9" applyFont="1" applyFill="1" applyBorder="1" applyAlignment="1" applyProtection="1">
      <alignment horizontal="center" vertical="center" wrapText="1"/>
    </xf>
    <xf numFmtId="0" fontId="58" fillId="3" borderId="31" xfId="9" applyFont="1" applyFill="1" applyBorder="1" applyAlignment="1" applyProtection="1">
      <alignment horizontal="center" vertical="center" wrapText="1"/>
    </xf>
    <xf numFmtId="0" fontId="58" fillId="3" borderId="21" xfId="9" applyFont="1" applyFill="1" applyBorder="1" applyAlignment="1" applyProtection="1">
      <alignment horizontal="center" vertical="center" wrapText="1"/>
    </xf>
    <xf numFmtId="0" fontId="69" fillId="3" borderId="0" xfId="9" applyFont="1" applyFill="1" applyBorder="1" applyAlignment="1" applyProtection="1">
      <alignment horizontal="right" vertical="center" wrapText="1"/>
    </xf>
    <xf numFmtId="0" fontId="58" fillId="3" borderId="20" xfId="9" applyFont="1" applyFill="1" applyBorder="1" applyAlignment="1" applyProtection="1">
      <alignment horizontal="center" vertical="center" wrapText="1"/>
    </xf>
    <xf numFmtId="0" fontId="58" fillId="3" borderId="28" xfId="9" applyFont="1" applyFill="1" applyBorder="1" applyAlignment="1" applyProtection="1">
      <alignment horizontal="center" vertical="center" wrapText="1"/>
    </xf>
    <xf numFmtId="0" fontId="58" fillId="3" borderId="17" xfId="9" applyFont="1" applyFill="1" applyBorder="1" applyAlignment="1" applyProtection="1">
      <alignment horizontal="center" vertical="center" wrapText="1"/>
    </xf>
    <xf numFmtId="0" fontId="69" fillId="3" borderId="72" xfId="9" applyFont="1" applyFill="1" applyBorder="1" applyAlignment="1" applyProtection="1">
      <alignment horizontal="left" wrapText="1"/>
    </xf>
    <xf numFmtId="0" fontId="69" fillId="3" borderId="147" xfId="9" applyFont="1" applyFill="1" applyBorder="1" applyAlignment="1" applyProtection="1">
      <alignment horizontal="left" wrapText="1"/>
    </xf>
    <xf numFmtId="0" fontId="69" fillId="3" borderId="74" xfId="9" applyFont="1" applyFill="1" applyBorder="1" applyAlignment="1" applyProtection="1">
      <alignment horizontal="left" wrapText="1"/>
    </xf>
    <xf numFmtId="0" fontId="69" fillId="3" borderId="148" xfId="9" applyFont="1" applyFill="1" applyBorder="1" applyAlignment="1" applyProtection="1">
      <alignment horizontal="left" wrapText="1"/>
    </xf>
    <xf numFmtId="0" fontId="69" fillId="3" borderId="112" xfId="9" applyFont="1" applyFill="1" applyBorder="1" applyAlignment="1" applyProtection="1">
      <alignment horizontal="left" wrapText="1"/>
    </xf>
    <xf numFmtId="0" fontId="69" fillId="3" borderId="133" xfId="9" applyFont="1" applyFill="1" applyBorder="1" applyAlignment="1" applyProtection="1">
      <alignment horizontal="left" wrapText="1"/>
    </xf>
    <xf numFmtId="0" fontId="69" fillId="3" borderId="71" xfId="9" applyFont="1" applyFill="1" applyBorder="1" applyAlignment="1" applyProtection="1">
      <alignment horizontal="left" wrapText="1"/>
    </xf>
    <xf numFmtId="0" fontId="69" fillId="3" borderId="149" xfId="9" applyFont="1" applyFill="1" applyBorder="1" applyAlignment="1" applyProtection="1">
      <alignment horizontal="left" wrapText="1"/>
    </xf>
    <xf numFmtId="0" fontId="69" fillId="3" borderId="73" xfId="9" applyFont="1" applyFill="1" applyBorder="1" applyAlignment="1" applyProtection="1">
      <alignment horizontal="left" wrapText="1"/>
    </xf>
    <xf numFmtId="0" fontId="69" fillId="3" borderId="144" xfId="9" applyFont="1" applyFill="1" applyBorder="1" applyAlignment="1" applyProtection="1">
      <alignment horizontal="left" vertical="center" wrapText="1"/>
    </xf>
    <xf numFmtId="0" fontId="69" fillId="3" borderId="145" xfId="9" applyFont="1" applyFill="1" applyBorder="1" applyAlignment="1" applyProtection="1">
      <alignment horizontal="left" vertical="center" wrapText="1"/>
    </xf>
    <xf numFmtId="0" fontId="69" fillId="3" borderId="146" xfId="9" applyFont="1" applyFill="1" applyBorder="1" applyAlignment="1" applyProtection="1">
      <alignment horizontal="left" vertical="center" wrapText="1"/>
    </xf>
    <xf numFmtId="0" fontId="69" fillId="3" borderId="232" xfId="9" applyFont="1" applyFill="1" applyBorder="1" applyAlignment="1" applyProtection="1">
      <alignment horizontal="left" vertical="center" wrapText="1"/>
    </xf>
    <xf numFmtId="0" fontId="69" fillId="3" borderId="233" xfId="9" applyFont="1" applyFill="1" applyBorder="1" applyAlignment="1" applyProtection="1">
      <alignment horizontal="left" vertical="center" wrapText="1"/>
    </xf>
    <xf numFmtId="0" fontId="69" fillId="3" borderId="234" xfId="9" applyFont="1" applyFill="1" applyBorder="1" applyAlignment="1" applyProtection="1">
      <alignment horizontal="left" vertical="center" wrapText="1"/>
    </xf>
    <xf numFmtId="0" fontId="42" fillId="30" borderId="132" xfId="9" applyFont="1" applyFill="1" applyBorder="1" applyAlignment="1" applyProtection="1">
      <alignment horizontal="center" vertical="top" wrapText="1"/>
    </xf>
    <xf numFmtId="0" fontId="42" fillId="30" borderId="111" xfId="9" applyFont="1" applyFill="1" applyBorder="1" applyAlignment="1" applyProtection="1">
      <alignment horizontal="center" vertical="top" wrapText="1"/>
    </xf>
    <xf numFmtId="0" fontId="57" fillId="13" borderId="46" xfId="19" applyFont="1" applyFill="1" applyBorder="1" applyAlignment="1" applyProtection="1">
      <alignment horizontal="center" vertical="top" wrapText="1"/>
      <protection locked="0"/>
    </xf>
    <xf numFmtId="0" fontId="33" fillId="0" borderId="0" xfId="19" applyFont="1" applyFill="1" applyBorder="1" applyAlignment="1" applyProtection="1">
      <alignment horizontal="right" vertical="center"/>
    </xf>
    <xf numFmtId="0" fontId="84" fillId="10" borderId="46" xfId="9" quotePrefix="1" applyFont="1" applyFill="1" applyBorder="1" applyAlignment="1" applyProtection="1">
      <alignment horizontal="left" wrapText="1"/>
    </xf>
    <xf numFmtId="0" fontId="69" fillId="3" borderId="0" xfId="9" applyFont="1" applyFill="1" applyBorder="1" applyAlignment="1" applyProtection="1">
      <alignment horizontal="right" vertical="center"/>
    </xf>
    <xf numFmtId="165" fontId="69" fillId="21" borderId="262" xfId="9" applyNumberFormat="1" applyFont="1" applyFill="1" applyBorder="1" applyAlignment="1" applyProtection="1">
      <alignment horizontal="center" vertical="center"/>
    </xf>
    <xf numFmtId="165" fontId="69" fillId="21" borderId="263" xfId="9" applyNumberFormat="1" applyFont="1" applyFill="1" applyBorder="1" applyAlignment="1" applyProtection="1">
      <alignment horizontal="center" vertical="center"/>
    </xf>
    <xf numFmtId="0" fontId="77" fillId="3" borderId="0" xfId="9" applyFont="1" applyFill="1" applyBorder="1" applyAlignment="1" applyProtection="1">
      <alignment horizontal="center" vertical="center"/>
    </xf>
    <xf numFmtId="167" fontId="58" fillId="5" borderId="92" xfId="2" applyNumberFormat="1" applyFont="1" applyFill="1" applyBorder="1" applyAlignment="1" applyProtection="1">
      <alignment horizontal="center" vertical="center" wrapText="1"/>
    </xf>
    <xf numFmtId="167" fontId="58" fillId="5" borderId="68" xfId="2" applyNumberFormat="1" applyFont="1" applyFill="1" applyBorder="1" applyAlignment="1" applyProtection="1">
      <alignment horizontal="center" vertical="center" wrapText="1"/>
    </xf>
    <xf numFmtId="0" fontId="69" fillId="0" borderId="109" xfId="9" applyFont="1" applyBorder="1" applyAlignment="1" applyProtection="1">
      <alignment horizontal="left" vertical="top" wrapText="1"/>
      <protection locked="0"/>
    </xf>
    <xf numFmtId="0" fontId="69" fillId="0" borderId="0" xfId="9" applyFont="1" applyBorder="1" applyAlignment="1" applyProtection="1">
      <alignment horizontal="left" vertical="top" wrapText="1"/>
      <protection locked="0"/>
    </xf>
    <xf numFmtId="0" fontId="69" fillId="0" borderId="16" xfId="9" applyFont="1" applyBorder="1" applyAlignment="1" applyProtection="1">
      <alignment horizontal="left" vertical="top" wrapText="1"/>
      <protection locked="0"/>
    </xf>
    <xf numFmtId="0" fontId="69" fillId="0" borderId="113" xfId="9" applyFont="1" applyBorder="1" applyAlignment="1" applyProtection="1">
      <alignment horizontal="left" vertical="top" wrapText="1"/>
      <protection locked="0"/>
    </xf>
    <xf numFmtId="0" fontId="69" fillId="0" borderId="111" xfId="9" applyFont="1" applyBorder="1" applyAlignment="1" applyProtection="1">
      <alignment horizontal="left" vertical="top" wrapText="1"/>
      <protection locked="0"/>
    </xf>
    <xf numFmtId="0" fontId="69" fillId="0" borderId="86" xfId="9" applyFont="1" applyBorder="1" applyAlignment="1" applyProtection="1">
      <alignment horizontal="left" vertical="top" wrapText="1"/>
      <protection locked="0"/>
    </xf>
    <xf numFmtId="0" fontId="69" fillId="3" borderId="0" xfId="0" quotePrefix="1" applyFont="1" applyFill="1" applyBorder="1" applyAlignment="1" applyProtection="1">
      <alignment horizontal="left"/>
    </xf>
    <xf numFmtId="0" fontId="69" fillId="21" borderId="0" xfId="0" applyFont="1" applyFill="1" applyBorder="1" applyAlignment="1" applyProtection="1">
      <alignment horizontal="left"/>
    </xf>
    <xf numFmtId="0" fontId="125" fillId="3" borderId="109" xfId="26" applyFont="1" applyFill="1" applyBorder="1" applyAlignment="1" applyProtection="1">
      <alignment horizontal="right" vertical="top"/>
    </xf>
    <xf numFmtId="0" fontId="125" fillId="3" borderId="0" xfId="26" applyFont="1" applyFill="1" applyBorder="1" applyAlignment="1" applyProtection="1">
      <alignment horizontal="right" vertical="top"/>
    </xf>
    <xf numFmtId="0" fontId="58" fillId="3" borderId="87" xfId="9" applyFont="1" applyFill="1" applyBorder="1" applyAlignment="1" applyProtection="1">
      <alignment horizontal="center" vertical="center" wrapText="1"/>
    </xf>
    <xf numFmtId="0" fontId="58" fillId="3" borderId="15" xfId="9" applyFont="1" applyFill="1" applyBorder="1" applyAlignment="1" applyProtection="1">
      <alignment horizontal="center" vertical="center" wrapText="1"/>
    </xf>
    <xf numFmtId="0" fontId="58" fillId="3" borderId="88" xfId="9" applyFont="1" applyFill="1" applyBorder="1" applyAlignment="1" applyProtection="1">
      <alignment horizontal="center" vertical="center" wrapText="1"/>
    </xf>
    <xf numFmtId="0" fontId="126" fillId="3" borderId="94" xfId="26" applyFont="1" applyFill="1" applyBorder="1" applyAlignment="1" applyProtection="1">
      <alignment horizontal="left" vertical="center" wrapText="1"/>
    </xf>
    <xf numFmtId="0" fontId="126" fillId="3" borderId="110" xfId="26" applyFont="1" applyFill="1" applyBorder="1" applyAlignment="1" applyProtection="1">
      <alignment horizontal="left" vertical="center" wrapText="1"/>
    </xf>
    <xf numFmtId="0" fontId="126" fillId="3" borderId="115" xfId="26" applyFont="1" applyFill="1" applyBorder="1" applyAlignment="1" applyProtection="1">
      <alignment horizontal="left" vertical="center" wrapText="1"/>
    </xf>
    <xf numFmtId="0" fontId="69" fillId="3" borderId="94" xfId="26" applyFont="1" applyFill="1" applyBorder="1" applyAlignment="1" applyProtection="1">
      <alignment horizontal="left" vertical="center" wrapText="1"/>
    </xf>
    <xf numFmtId="0" fontId="69" fillId="3" borderId="110" xfId="26" applyFont="1" applyFill="1" applyBorder="1" applyAlignment="1" applyProtection="1">
      <alignment horizontal="left" vertical="center" wrapText="1"/>
    </xf>
    <xf numFmtId="0" fontId="69" fillId="3" borderId="115" xfId="26" applyFont="1" applyFill="1" applyBorder="1" applyAlignment="1" applyProtection="1">
      <alignment horizontal="left" vertical="center" wrapText="1"/>
    </xf>
    <xf numFmtId="0" fontId="69" fillId="3" borderId="109" xfId="26" applyFont="1" applyFill="1" applyBorder="1" applyAlignment="1" applyProtection="1">
      <alignment horizontal="left" vertical="center" wrapText="1"/>
    </xf>
    <xf numFmtId="0" fontId="69" fillId="3" borderId="0" xfId="26" applyFont="1" applyFill="1" applyBorder="1" applyAlignment="1" applyProtection="1">
      <alignment horizontal="left" vertical="center" wrapText="1"/>
    </xf>
    <xf numFmtId="0" fontId="69" fillId="3" borderId="16" xfId="26" applyFont="1" applyFill="1" applyBorder="1" applyAlignment="1" applyProtection="1">
      <alignment horizontal="left" vertical="center" wrapText="1"/>
    </xf>
    <xf numFmtId="0" fontId="69" fillId="3" borderId="113" xfId="26" applyFont="1" applyFill="1" applyBorder="1" applyAlignment="1" applyProtection="1">
      <alignment horizontal="left" vertical="center" wrapText="1"/>
    </xf>
    <xf numFmtId="0" fontId="69" fillId="3" borderId="111" xfId="26" applyFont="1" applyFill="1" applyBorder="1" applyAlignment="1" applyProtection="1">
      <alignment horizontal="left" vertical="center" wrapText="1"/>
    </xf>
    <xf numFmtId="0" fontId="69" fillId="3" borderId="86" xfId="26" applyFont="1" applyFill="1" applyBorder="1" applyAlignment="1" applyProtection="1">
      <alignment horizontal="left" vertical="center" wrapText="1"/>
    </xf>
    <xf numFmtId="0" fontId="69" fillId="21" borderId="0" xfId="9" applyFont="1" applyFill="1" applyBorder="1" applyAlignment="1" applyProtection="1">
      <alignment horizontal="left" wrapText="1"/>
    </xf>
    <xf numFmtId="0" fontId="84" fillId="10" borderId="46" xfId="9" quotePrefix="1" applyFont="1" applyFill="1" applyBorder="1" applyAlignment="1" applyProtection="1">
      <alignment horizontal="center" wrapText="1"/>
    </xf>
    <xf numFmtId="0" fontId="24" fillId="0" borderId="94" xfId="9" applyFont="1" applyBorder="1" applyAlignment="1" applyProtection="1">
      <alignment horizontal="left" vertical="top" wrapText="1"/>
    </xf>
    <xf numFmtId="0" fontId="24" fillId="0" borderId="110" xfId="9" applyFont="1" applyBorder="1" applyAlignment="1" applyProtection="1">
      <alignment horizontal="left" vertical="top" wrapText="1"/>
    </xf>
    <xf numFmtId="0" fontId="24" fillId="0" borderId="115" xfId="9" applyFont="1" applyBorder="1" applyAlignment="1" applyProtection="1">
      <alignment horizontal="left" vertical="top" wrapText="1"/>
    </xf>
    <xf numFmtId="0" fontId="24" fillId="0" borderId="109" xfId="9" applyFont="1" applyBorder="1" applyAlignment="1" applyProtection="1">
      <alignment horizontal="left" vertical="top" wrapText="1"/>
    </xf>
    <xf numFmtId="0" fontId="24" fillId="0" borderId="0" xfId="9" applyFont="1" applyBorder="1" applyAlignment="1" applyProtection="1">
      <alignment horizontal="left" vertical="top" wrapText="1"/>
    </xf>
    <xf numFmtId="0" fontId="24" fillId="0" borderId="16" xfId="9" applyFont="1" applyBorder="1" applyAlignment="1" applyProtection="1">
      <alignment horizontal="left" vertical="top" wrapText="1"/>
    </xf>
    <xf numFmtId="0" fontId="59" fillId="3" borderId="0" xfId="0" applyFont="1" applyFill="1" applyAlignment="1" applyProtection="1">
      <alignment horizontal="right"/>
    </xf>
    <xf numFmtId="0" fontId="69" fillId="14" borderId="0" xfId="9" applyFont="1" applyFill="1" applyBorder="1" applyAlignment="1" applyProtection="1">
      <alignment horizontal="right" vertical="center" wrapText="1"/>
    </xf>
    <xf numFmtId="0" fontId="69" fillId="14" borderId="9" xfId="9" applyFont="1" applyFill="1" applyBorder="1" applyAlignment="1" applyProtection="1">
      <alignment horizontal="right" vertical="center" wrapText="1"/>
    </xf>
    <xf numFmtId="0" fontId="69" fillId="3" borderId="0" xfId="26" applyFont="1" applyFill="1" applyBorder="1" applyAlignment="1" applyProtection="1">
      <alignment horizontal="left" vertical="top" wrapText="1"/>
      <protection locked="0"/>
    </xf>
    <xf numFmtId="0" fontId="77" fillId="3" borderId="0" xfId="9" quotePrefix="1" applyFont="1" applyFill="1" applyBorder="1" applyAlignment="1" applyProtection="1">
      <alignment horizontal="center" vertical="center" wrapText="1"/>
    </xf>
    <xf numFmtId="0" fontId="77" fillId="3" borderId="0" xfId="9" applyFont="1" applyFill="1" applyBorder="1" applyAlignment="1" applyProtection="1">
      <alignment horizontal="center" vertical="center" wrapText="1"/>
    </xf>
    <xf numFmtId="0" fontId="4" fillId="15" borderId="87" xfId="26" applyFill="1" applyBorder="1" applyAlignment="1" applyProtection="1">
      <alignment horizontal="center"/>
    </xf>
    <xf numFmtId="0" fontId="4" fillId="15" borderId="15" xfId="26" applyFill="1" applyBorder="1" applyAlignment="1" applyProtection="1">
      <alignment horizontal="center"/>
    </xf>
    <xf numFmtId="0" fontId="4" fillId="15" borderId="88" xfId="26" applyFill="1" applyBorder="1" applyAlignment="1" applyProtection="1">
      <alignment horizontal="center"/>
    </xf>
    <xf numFmtId="0" fontId="69" fillId="3" borderId="0" xfId="0" quotePrefix="1" applyFont="1" applyFill="1" applyBorder="1" applyAlignment="1" applyProtection="1">
      <alignment horizontal="center"/>
    </xf>
    <xf numFmtId="0" fontId="24" fillId="0" borderId="94" xfId="9" applyFont="1" applyBorder="1" applyAlignment="1" applyProtection="1">
      <alignment horizontal="left" wrapText="1"/>
    </xf>
    <xf numFmtId="0" fontId="24" fillId="0" borderId="110" xfId="9" applyFont="1" applyBorder="1" applyAlignment="1" applyProtection="1">
      <alignment horizontal="left" wrapText="1"/>
    </xf>
    <xf numFmtId="0" fontId="24" fillId="0" borderId="115" xfId="9" applyFont="1" applyBorder="1" applyAlignment="1" applyProtection="1">
      <alignment horizontal="left" wrapText="1"/>
    </xf>
    <xf numFmtId="0" fontId="24" fillId="0" borderId="109" xfId="9" applyFont="1" applyBorder="1" applyAlignment="1" applyProtection="1">
      <alignment horizontal="left" wrapText="1"/>
    </xf>
    <xf numFmtId="0" fontId="24" fillId="0" borderId="0" xfId="9" applyFont="1" applyBorder="1" applyAlignment="1" applyProtection="1">
      <alignment horizontal="left" wrapText="1"/>
    </xf>
    <xf numFmtId="0" fontId="24" fillId="0" borderId="16" xfId="9" applyFont="1" applyBorder="1" applyAlignment="1" applyProtection="1">
      <alignment horizontal="left" wrapText="1"/>
    </xf>
    <xf numFmtId="0" fontId="58" fillId="14" borderId="30" xfId="9" applyFont="1" applyFill="1" applyBorder="1" applyAlignment="1" applyProtection="1">
      <alignment horizontal="center" vertical="center" wrapText="1"/>
    </xf>
    <xf numFmtId="0" fontId="58" fillId="14" borderId="31" xfId="9" applyFont="1" applyFill="1" applyBorder="1" applyAlignment="1" applyProtection="1">
      <alignment horizontal="center" vertical="center" wrapText="1"/>
    </xf>
    <xf numFmtId="0" fontId="58" fillId="14" borderId="21" xfId="9" applyFont="1" applyFill="1" applyBorder="1" applyAlignment="1" applyProtection="1">
      <alignment horizontal="center" vertical="center" wrapText="1"/>
    </xf>
    <xf numFmtId="0" fontId="34" fillId="30" borderId="43" xfId="9" applyFont="1" applyFill="1" applyBorder="1" applyAlignment="1" applyProtection="1">
      <alignment horizontal="left" vertical="center" wrapText="1"/>
    </xf>
    <xf numFmtId="0" fontId="34" fillId="30" borderId="42" xfId="9" applyFont="1" applyFill="1" applyBorder="1" applyAlignment="1" applyProtection="1">
      <alignment horizontal="left" vertical="center" wrapText="1"/>
    </xf>
    <xf numFmtId="0" fontId="34" fillId="30" borderId="43" xfId="9" applyFont="1" applyFill="1" applyBorder="1" applyAlignment="1" applyProtection="1">
      <alignment horizontal="center" vertical="center"/>
    </xf>
    <xf numFmtId="0" fontId="69" fillId="0" borderId="126" xfId="9" applyFont="1" applyBorder="1" applyAlignment="1" applyProtection="1">
      <alignment horizontal="left" vertical="top" wrapText="1"/>
      <protection locked="0"/>
    </xf>
    <xf numFmtId="0" fontId="69" fillId="0" borderId="119" xfId="9" applyFont="1" applyBorder="1" applyAlignment="1" applyProtection="1">
      <alignment horizontal="left" vertical="top" wrapText="1"/>
      <protection locked="0"/>
    </xf>
    <xf numFmtId="0" fontId="69" fillId="0" borderId="123" xfId="9" applyFont="1" applyBorder="1" applyAlignment="1" applyProtection="1">
      <alignment horizontal="left" vertical="top" wrapText="1"/>
      <protection locked="0"/>
    </xf>
    <xf numFmtId="0" fontId="69" fillId="0" borderId="3" xfId="9" applyFont="1" applyBorder="1" applyAlignment="1" applyProtection="1">
      <alignment horizontal="left" vertical="top" wrapText="1"/>
      <protection locked="0"/>
    </xf>
    <xf numFmtId="0" fontId="69" fillId="0" borderId="1" xfId="9" applyFont="1" applyBorder="1" applyAlignment="1" applyProtection="1">
      <alignment horizontal="left" vertical="top" wrapText="1"/>
      <protection locked="0"/>
    </xf>
    <xf numFmtId="0" fontId="69" fillId="0" borderId="124" xfId="9" applyFont="1" applyBorder="1" applyAlignment="1" applyProtection="1">
      <alignment horizontal="left" vertical="top" wrapText="1"/>
      <protection locked="0"/>
    </xf>
    <xf numFmtId="0" fontId="69" fillId="0" borderId="127" xfId="9" applyFont="1" applyBorder="1" applyAlignment="1" applyProtection="1">
      <alignment horizontal="left" vertical="top" wrapText="1"/>
      <protection locked="0"/>
    </xf>
    <xf numFmtId="0" fontId="69" fillId="0" borderId="122" xfId="9" applyFont="1" applyBorder="1" applyAlignment="1" applyProtection="1">
      <alignment horizontal="left" vertical="top" wrapText="1"/>
      <protection locked="0"/>
    </xf>
    <xf numFmtId="0" fontId="69" fillId="0" borderId="125" xfId="9" applyFont="1" applyBorder="1" applyAlignment="1" applyProtection="1">
      <alignment horizontal="left" vertical="top" wrapText="1"/>
      <protection locked="0"/>
    </xf>
    <xf numFmtId="0" fontId="69" fillId="21" borderId="19" xfId="9" applyFont="1" applyFill="1" applyBorder="1" applyAlignment="1" applyProtection="1">
      <alignment horizontal="center" vertical="center"/>
    </xf>
    <xf numFmtId="167" fontId="69" fillId="21" borderId="19" xfId="2" applyNumberFormat="1" applyFont="1" applyFill="1" applyBorder="1" applyAlignment="1" applyProtection="1">
      <alignment horizontal="center" vertical="center"/>
    </xf>
    <xf numFmtId="0" fontId="57" fillId="0" borderId="0" xfId="9" applyFont="1" applyBorder="1" applyAlignment="1" applyProtection="1">
      <alignment horizontal="left" wrapText="1"/>
    </xf>
    <xf numFmtId="0" fontId="69" fillId="0" borderId="19" xfId="9" applyFont="1" applyBorder="1" applyAlignment="1" applyProtection="1">
      <alignment horizontal="center" vertical="center"/>
      <protection locked="0"/>
    </xf>
    <xf numFmtId="165" fontId="69" fillId="21" borderId="19" xfId="9" applyNumberFormat="1" applyFont="1" applyFill="1" applyBorder="1" applyAlignment="1" applyProtection="1">
      <alignment horizontal="center" vertical="center"/>
    </xf>
    <xf numFmtId="0" fontId="69" fillId="3" borderId="94" xfId="9" applyFont="1" applyFill="1" applyBorder="1" applyAlignment="1" applyProtection="1">
      <alignment horizontal="left" vertical="center" wrapText="1"/>
    </xf>
    <xf numFmtId="0" fontId="69" fillId="3" borderId="110" xfId="9" applyFont="1" applyFill="1" applyBorder="1" applyAlignment="1" applyProtection="1">
      <alignment horizontal="left" vertical="center" wrapText="1"/>
    </xf>
    <xf numFmtId="0" fontId="69" fillId="3" borderId="109" xfId="9" applyFont="1" applyFill="1" applyBorder="1" applyAlignment="1" applyProtection="1">
      <alignment horizontal="left" vertical="center" wrapText="1"/>
    </xf>
    <xf numFmtId="0" fontId="69" fillId="3" borderId="0" xfId="9" applyFont="1" applyFill="1" applyBorder="1" applyAlignment="1" applyProtection="1">
      <alignment horizontal="left" vertical="center" wrapText="1"/>
    </xf>
    <xf numFmtId="0" fontId="69" fillId="3" borderId="113" xfId="9" applyFont="1" applyFill="1" applyBorder="1" applyAlignment="1" applyProtection="1">
      <alignment horizontal="left" vertical="center" wrapText="1"/>
    </xf>
    <xf numFmtId="0" fontId="69" fillId="3" borderId="111" xfId="9" applyFont="1" applyFill="1" applyBorder="1" applyAlignment="1" applyProtection="1">
      <alignment horizontal="left" vertical="center" wrapText="1"/>
    </xf>
    <xf numFmtId="0" fontId="69" fillId="3" borderId="0" xfId="9" applyFont="1" applyFill="1" applyBorder="1" applyAlignment="1" applyProtection="1">
      <alignment horizontal="right" vertical="top" wrapText="1"/>
    </xf>
    <xf numFmtId="165" fontId="69" fillId="21" borderId="262" xfId="9" applyNumberFormat="1" applyFont="1" applyFill="1" applyBorder="1" applyAlignment="1" applyProtection="1">
      <alignment horizontal="center" vertical="center" wrapText="1"/>
    </xf>
    <xf numFmtId="165" fontId="69" fillId="21" borderId="263" xfId="9" applyNumberFormat="1" applyFont="1" applyFill="1" applyBorder="1" applyAlignment="1" applyProtection="1">
      <alignment horizontal="center" vertical="center" wrapText="1"/>
    </xf>
    <xf numFmtId="0" fontId="34" fillId="30" borderId="38" xfId="9" applyFont="1" applyFill="1" applyBorder="1" applyAlignment="1" applyProtection="1">
      <alignment horizontal="right" vertical="center"/>
    </xf>
    <xf numFmtId="0" fontId="34" fillId="30" borderId="51" xfId="9" applyFont="1" applyFill="1" applyBorder="1" applyAlignment="1" applyProtection="1">
      <alignment horizontal="right" vertical="center"/>
    </xf>
    <xf numFmtId="0" fontId="69" fillId="3" borderId="87" xfId="9" applyFont="1" applyFill="1" applyBorder="1" applyAlignment="1" applyProtection="1">
      <alignment horizontal="left" vertical="center" wrapText="1"/>
    </xf>
    <xf numFmtId="0" fontId="69" fillId="3" borderId="15" xfId="9" applyFont="1" applyFill="1" applyBorder="1" applyAlignment="1" applyProtection="1">
      <alignment horizontal="left" vertical="center" wrapText="1"/>
    </xf>
    <xf numFmtId="0" fontId="69" fillId="3" borderId="88" xfId="9" applyFont="1" applyFill="1" applyBorder="1" applyAlignment="1" applyProtection="1">
      <alignment horizontal="left" vertical="center" wrapText="1"/>
    </xf>
    <xf numFmtId="165" fontId="69" fillId="0" borderId="19" xfId="9" applyNumberFormat="1" applyFont="1" applyBorder="1" applyAlignment="1" applyProtection="1">
      <alignment horizontal="center" vertical="center"/>
      <protection locked="0"/>
    </xf>
    <xf numFmtId="165" fontId="69" fillId="3" borderId="19" xfId="9" applyNumberFormat="1" applyFont="1" applyFill="1" applyBorder="1" applyAlignment="1" applyProtection="1">
      <alignment horizontal="center" vertical="center"/>
      <protection locked="0"/>
    </xf>
    <xf numFmtId="0" fontId="34" fillId="30" borderId="39" xfId="9" applyFont="1" applyFill="1" applyBorder="1" applyAlignment="1" applyProtection="1">
      <alignment horizontal="right" vertical="center"/>
    </xf>
    <xf numFmtId="0" fontId="69" fillId="3" borderId="115" xfId="9" applyFont="1" applyFill="1" applyBorder="1" applyAlignment="1" applyProtection="1">
      <alignment horizontal="left" vertical="center" wrapText="1"/>
    </xf>
    <xf numFmtId="0" fontId="69" fillId="3" borderId="16" xfId="9" applyFont="1" applyFill="1" applyBorder="1" applyAlignment="1" applyProtection="1">
      <alignment horizontal="left" vertical="center" wrapText="1"/>
    </xf>
    <xf numFmtId="0" fontId="69" fillId="3" borderId="86" xfId="9" applyFont="1" applyFill="1" applyBorder="1" applyAlignment="1" applyProtection="1">
      <alignment horizontal="left" vertical="center" wrapText="1"/>
    </xf>
    <xf numFmtId="0" fontId="34" fillId="30" borderId="43" xfId="9" applyFont="1" applyFill="1" applyBorder="1" applyAlignment="1" applyProtection="1">
      <alignment horizontal="center" vertical="center" wrapText="1"/>
    </xf>
    <xf numFmtId="0" fontId="34" fillId="30" borderId="37" xfId="9" applyFont="1" applyFill="1" applyBorder="1" applyAlignment="1" applyProtection="1">
      <alignment horizontal="center" vertical="center" wrapText="1"/>
    </xf>
    <xf numFmtId="9" fontId="69" fillId="3" borderId="94" xfId="9" applyNumberFormat="1" applyFont="1" applyFill="1" applyBorder="1" applyAlignment="1" applyProtection="1">
      <alignment horizontal="left" vertical="center" wrapText="1"/>
    </xf>
    <xf numFmtId="9" fontId="69" fillId="3" borderId="110" xfId="9" applyNumberFormat="1" applyFont="1" applyFill="1" applyBorder="1" applyAlignment="1" applyProtection="1">
      <alignment horizontal="left" vertical="center" wrapText="1"/>
    </xf>
    <xf numFmtId="9" fontId="69" fillId="3" borderId="115" xfId="9" applyNumberFormat="1" applyFont="1" applyFill="1" applyBorder="1" applyAlignment="1" applyProtection="1">
      <alignment horizontal="left" vertical="center" wrapText="1"/>
    </xf>
    <xf numFmtId="9" fontId="69" fillId="3" borderId="109" xfId="9" applyNumberFormat="1" applyFont="1" applyFill="1" applyBorder="1" applyAlignment="1" applyProtection="1">
      <alignment horizontal="left" vertical="center" wrapText="1"/>
    </xf>
    <xf numFmtId="9" fontId="69" fillId="3" borderId="0" xfId="9" applyNumberFormat="1" applyFont="1" applyFill="1" applyBorder="1" applyAlignment="1" applyProtection="1">
      <alignment horizontal="left" vertical="center" wrapText="1"/>
    </xf>
    <xf numFmtId="9" fontId="69" fillId="3" borderId="16" xfId="9" applyNumberFormat="1" applyFont="1" applyFill="1" applyBorder="1" applyAlignment="1" applyProtection="1">
      <alignment horizontal="left" vertical="center" wrapText="1"/>
    </xf>
    <xf numFmtId="9" fontId="69" fillId="3" borderId="113" xfId="9" applyNumberFormat="1" applyFont="1" applyFill="1" applyBorder="1" applyAlignment="1" applyProtection="1">
      <alignment horizontal="left" vertical="center" wrapText="1"/>
    </xf>
    <xf numFmtId="9" fontId="69" fillId="3" borderId="111" xfId="9" applyNumberFormat="1" applyFont="1" applyFill="1" applyBorder="1" applyAlignment="1" applyProtection="1">
      <alignment horizontal="left" vertical="center" wrapText="1"/>
    </xf>
    <xf numFmtId="9" fontId="69" fillId="3" borderId="86" xfId="9" applyNumberFormat="1" applyFont="1" applyFill="1" applyBorder="1" applyAlignment="1" applyProtection="1">
      <alignment horizontal="left" vertical="center" wrapText="1"/>
    </xf>
    <xf numFmtId="0" fontId="69" fillId="3" borderId="94" xfId="9" applyFont="1" applyFill="1" applyBorder="1" applyAlignment="1" applyProtection="1">
      <alignment horizontal="left" vertical="center"/>
    </xf>
    <xf numFmtId="0" fontId="69" fillId="3" borderId="110" xfId="9" applyFont="1" applyFill="1" applyBorder="1" applyAlignment="1" applyProtection="1">
      <alignment horizontal="left" vertical="center"/>
    </xf>
    <xf numFmtId="0" fontId="69" fillId="3" borderId="109" xfId="9" applyFont="1" applyFill="1" applyBorder="1" applyAlignment="1" applyProtection="1">
      <alignment horizontal="left" vertical="center"/>
    </xf>
    <xf numFmtId="0" fontId="69" fillId="3" borderId="0" xfId="9" applyFont="1" applyFill="1" applyBorder="1" applyAlignment="1" applyProtection="1">
      <alignment horizontal="left" vertical="center"/>
    </xf>
    <xf numFmtId="0" fontId="69" fillId="3" borderId="113" xfId="9" applyFont="1" applyFill="1" applyBorder="1" applyAlignment="1" applyProtection="1">
      <alignment horizontal="left" vertical="center"/>
    </xf>
    <xf numFmtId="0" fontId="69" fillId="3" borderId="111" xfId="9" applyFont="1" applyFill="1" applyBorder="1" applyAlignment="1" applyProtection="1">
      <alignment horizontal="left" vertical="center"/>
    </xf>
    <xf numFmtId="2" fontId="69" fillId="3" borderId="94" xfId="9" applyNumberFormat="1" applyFont="1" applyFill="1" applyBorder="1" applyAlignment="1" applyProtection="1">
      <alignment horizontal="left" vertical="center" wrapText="1"/>
    </xf>
    <xf numFmtId="2" fontId="69" fillId="3" borderId="110" xfId="9" applyNumberFormat="1" applyFont="1" applyFill="1" applyBorder="1" applyAlignment="1" applyProtection="1">
      <alignment horizontal="left" vertical="center" wrapText="1"/>
    </xf>
    <xf numFmtId="2" fontId="69" fillId="3" borderId="115" xfId="9" applyNumberFormat="1" applyFont="1" applyFill="1" applyBorder="1" applyAlignment="1" applyProtection="1">
      <alignment horizontal="left" vertical="center" wrapText="1"/>
    </xf>
    <xf numFmtId="2" fontId="69" fillId="3" borderId="109" xfId="9" applyNumberFormat="1" applyFont="1" applyFill="1" applyBorder="1" applyAlignment="1" applyProtection="1">
      <alignment horizontal="left" vertical="center" wrapText="1"/>
    </xf>
    <xf numFmtId="2" fontId="69" fillId="3" borderId="0" xfId="9" applyNumberFormat="1" applyFont="1" applyFill="1" applyBorder="1" applyAlignment="1" applyProtection="1">
      <alignment horizontal="left" vertical="center" wrapText="1"/>
    </xf>
    <xf numFmtId="2" fontId="69" fillId="3" borderId="16" xfId="9" applyNumberFormat="1" applyFont="1" applyFill="1" applyBorder="1" applyAlignment="1" applyProtection="1">
      <alignment horizontal="left" vertical="center" wrapText="1"/>
    </xf>
    <xf numFmtId="2" fontId="69" fillId="3" borderId="113" xfId="9" applyNumberFormat="1" applyFont="1" applyFill="1" applyBorder="1" applyAlignment="1" applyProtection="1">
      <alignment horizontal="left" vertical="center" wrapText="1"/>
    </xf>
    <xf numFmtId="2" fontId="69" fillId="3" borderId="111" xfId="9" applyNumberFormat="1" applyFont="1" applyFill="1" applyBorder="1" applyAlignment="1" applyProtection="1">
      <alignment horizontal="left" vertical="center" wrapText="1"/>
    </xf>
    <xf numFmtId="2" fontId="69" fillId="3" borderId="86" xfId="9" applyNumberFormat="1" applyFont="1" applyFill="1" applyBorder="1" applyAlignment="1" applyProtection="1">
      <alignment horizontal="left" vertical="center" wrapText="1"/>
    </xf>
    <xf numFmtId="0" fontId="58" fillId="3" borderId="0" xfId="9" applyFont="1" applyFill="1" applyBorder="1" applyAlignment="1" applyProtection="1">
      <alignment horizontal="right" vertical="top" wrapText="1"/>
    </xf>
    <xf numFmtId="0" fontId="58" fillId="0" borderId="94" xfId="9" applyFont="1" applyBorder="1" applyAlignment="1" applyProtection="1">
      <alignment horizontal="center" vertical="center" wrapText="1"/>
    </xf>
    <xf numFmtId="0" fontId="58" fillId="0" borderId="115" xfId="9" applyFont="1" applyBorder="1" applyAlignment="1" applyProtection="1">
      <alignment horizontal="center" vertical="center" wrapText="1"/>
    </xf>
    <xf numFmtId="0" fontId="58" fillId="0" borderId="109" xfId="9" applyFont="1" applyBorder="1" applyAlignment="1" applyProtection="1">
      <alignment horizontal="center" vertical="center" wrapText="1"/>
    </xf>
    <xf numFmtId="0" fontId="58" fillId="0" borderId="16" xfId="9" applyFont="1" applyBorder="1" applyAlignment="1" applyProtection="1">
      <alignment horizontal="center" vertical="center" wrapText="1"/>
    </xf>
    <xf numFmtId="0" fontId="58" fillId="0" borderId="113" xfId="9" applyFont="1" applyBorder="1" applyAlignment="1" applyProtection="1">
      <alignment horizontal="center" vertical="center" wrapText="1"/>
    </xf>
    <xf numFmtId="0" fontId="58" fillId="0" borderId="86" xfId="9" applyFont="1" applyBorder="1" applyAlignment="1" applyProtection="1">
      <alignment horizontal="center" vertical="center" wrapText="1"/>
    </xf>
    <xf numFmtId="0" fontId="69" fillId="3" borderId="94" xfId="9" applyFont="1" applyFill="1" applyBorder="1" applyAlignment="1" applyProtection="1">
      <alignment horizontal="left" vertical="top" wrapText="1"/>
      <protection locked="0"/>
    </xf>
    <xf numFmtId="0" fontId="69" fillId="3" borderId="110" xfId="9" applyFont="1" applyFill="1" applyBorder="1" applyAlignment="1" applyProtection="1">
      <alignment horizontal="left" vertical="top" wrapText="1"/>
      <protection locked="0"/>
    </xf>
    <xf numFmtId="0" fontId="69" fillId="3" borderId="115" xfId="9" applyFont="1" applyFill="1" applyBorder="1" applyAlignment="1" applyProtection="1">
      <alignment horizontal="left" vertical="top" wrapText="1"/>
      <protection locked="0"/>
    </xf>
    <xf numFmtId="0" fontId="69" fillId="3" borderId="109" xfId="9" applyFont="1" applyFill="1" applyBorder="1" applyAlignment="1" applyProtection="1">
      <alignment horizontal="left" vertical="top" wrapText="1"/>
      <protection locked="0"/>
    </xf>
    <xf numFmtId="0" fontId="69" fillId="3" borderId="0" xfId="9" applyFont="1" applyFill="1" applyBorder="1" applyAlignment="1" applyProtection="1">
      <alignment horizontal="left" vertical="top" wrapText="1"/>
      <protection locked="0"/>
    </xf>
    <xf numFmtId="0" fontId="69" fillId="3" borderId="16" xfId="9" applyFont="1" applyFill="1" applyBorder="1" applyAlignment="1" applyProtection="1">
      <alignment horizontal="left" vertical="top" wrapText="1"/>
      <protection locked="0"/>
    </xf>
    <xf numFmtId="0" fontId="69" fillId="3" borderId="113" xfId="9" applyFont="1" applyFill="1" applyBorder="1" applyAlignment="1" applyProtection="1">
      <alignment horizontal="left" vertical="top" wrapText="1"/>
      <protection locked="0"/>
    </xf>
    <xf numFmtId="0" fontId="69" fillId="3" borderId="111" xfId="9" applyFont="1" applyFill="1" applyBorder="1" applyAlignment="1" applyProtection="1">
      <alignment horizontal="left" vertical="top" wrapText="1"/>
      <protection locked="0"/>
    </xf>
    <xf numFmtId="0" fontId="69" fillId="3" borderId="86" xfId="9" applyFont="1" applyFill="1" applyBorder="1" applyAlignment="1" applyProtection="1">
      <alignment horizontal="left" vertical="top" wrapText="1"/>
      <protection locked="0"/>
    </xf>
    <xf numFmtId="0" fontId="69" fillId="0" borderId="94" xfId="9" applyFont="1" applyBorder="1" applyAlignment="1" applyProtection="1">
      <alignment horizontal="left" vertical="top" wrapText="1"/>
      <protection locked="0"/>
    </xf>
    <xf numFmtId="0" fontId="69" fillId="0" borderId="110" xfId="9" applyFont="1" applyBorder="1" applyAlignment="1" applyProtection="1">
      <alignment horizontal="left" vertical="top" wrapText="1"/>
      <protection locked="0"/>
    </xf>
    <xf numFmtId="0" fontId="69" fillId="0" borderId="115" xfId="9" applyFont="1" applyBorder="1" applyAlignment="1" applyProtection="1">
      <alignment horizontal="left" vertical="top" wrapText="1"/>
      <protection locked="0"/>
    </xf>
    <xf numFmtId="0" fontId="58" fillId="0" borderId="118" xfId="9" applyFont="1" applyBorder="1" applyAlignment="1" applyProtection="1">
      <alignment horizontal="center" vertical="center" wrapText="1"/>
    </xf>
    <xf numFmtId="0" fontId="58" fillId="0" borderId="123" xfId="9" applyFont="1" applyBorder="1" applyAlignment="1" applyProtection="1">
      <alignment horizontal="center" vertical="center" wrapText="1"/>
    </xf>
    <xf numFmtId="0" fontId="58" fillId="0" borderId="120" xfId="9" applyFont="1" applyBorder="1" applyAlignment="1" applyProtection="1">
      <alignment horizontal="center" vertical="center" wrapText="1"/>
    </xf>
    <xf numFmtId="0" fontId="58" fillId="0" borderId="124" xfId="9" applyFont="1" applyBorder="1" applyAlignment="1" applyProtection="1">
      <alignment horizontal="center" vertical="center" wrapText="1"/>
    </xf>
    <xf numFmtId="0" fontId="58" fillId="0" borderId="121" xfId="9" applyFont="1" applyBorder="1" applyAlignment="1" applyProtection="1">
      <alignment horizontal="center" vertical="center" wrapText="1"/>
    </xf>
    <xf numFmtId="0" fontId="58" fillId="0" borderId="125" xfId="9" applyFont="1" applyBorder="1" applyAlignment="1" applyProtection="1">
      <alignment horizontal="center" vertical="center" wrapText="1"/>
    </xf>
    <xf numFmtId="0" fontId="58" fillId="0" borderId="87" xfId="9" applyFont="1" applyBorder="1" applyAlignment="1" applyProtection="1">
      <alignment horizontal="center" vertical="center" wrapText="1"/>
    </xf>
    <xf numFmtId="0" fontId="58" fillId="0" borderId="15" xfId="9" applyFont="1" applyBorder="1" applyAlignment="1" applyProtection="1">
      <alignment horizontal="center" vertical="center" wrapText="1"/>
    </xf>
    <xf numFmtId="0" fontId="58" fillId="0" borderId="88" xfId="9" applyFont="1" applyBorder="1" applyAlignment="1" applyProtection="1">
      <alignment horizontal="center" vertical="center" wrapText="1"/>
    </xf>
    <xf numFmtId="168" fontId="69" fillId="0" borderId="19" xfId="2" applyNumberFormat="1" applyFont="1" applyBorder="1" applyAlignment="1" applyProtection="1">
      <alignment horizontal="center" vertical="center"/>
      <protection locked="0"/>
    </xf>
    <xf numFmtId="168" fontId="69" fillId="3" borderId="19" xfId="2" applyNumberFormat="1" applyFont="1" applyFill="1" applyBorder="1" applyAlignment="1" applyProtection="1">
      <alignment horizontal="center" vertical="center"/>
      <protection locked="0"/>
    </xf>
    <xf numFmtId="0" fontId="58" fillId="3" borderId="0" xfId="9" applyFont="1" applyFill="1" applyBorder="1" applyAlignment="1" applyProtection="1">
      <alignment horizontal="center" vertical="center"/>
    </xf>
    <xf numFmtId="166" fontId="69" fillId="21" borderId="92" xfId="9" applyNumberFormat="1" applyFont="1" applyFill="1" applyBorder="1" applyAlignment="1" applyProtection="1">
      <alignment horizontal="left" vertical="center" wrapText="1"/>
    </xf>
    <xf numFmtId="166" fontId="69" fillId="21" borderId="112" xfId="9" applyNumberFormat="1" applyFont="1" applyFill="1" applyBorder="1" applyAlignment="1" applyProtection="1">
      <alignment horizontal="left" vertical="center" wrapText="1"/>
    </xf>
    <xf numFmtId="166" fontId="69" fillId="21" borderId="68" xfId="9" applyNumberFormat="1" applyFont="1" applyFill="1" applyBorder="1" applyAlignment="1" applyProtection="1">
      <alignment horizontal="left" vertical="center" wrapText="1"/>
    </xf>
    <xf numFmtId="0" fontId="69" fillId="3" borderId="109" xfId="9" applyFont="1" applyFill="1" applyBorder="1" applyAlignment="1" applyProtection="1">
      <alignment horizontal="right" vertical="center" wrapText="1"/>
    </xf>
    <xf numFmtId="0" fontId="69" fillId="3" borderId="16" xfId="9" applyFont="1" applyFill="1" applyBorder="1" applyAlignment="1" applyProtection="1">
      <alignment horizontal="right" vertical="center" wrapText="1"/>
    </xf>
    <xf numFmtId="0" fontId="34" fillId="3" borderId="38" xfId="9" applyFont="1" applyFill="1" applyBorder="1" applyAlignment="1" applyProtection="1">
      <alignment horizontal="right" vertical="center" wrapText="1"/>
    </xf>
    <xf numFmtId="165" fontId="69" fillId="21" borderId="92" xfId="9" applyNumberFormat="1" applyFont="1" applyFill="1" applyBorder="1" applyAlignment="1" applyProtection="1">
      <alignment horizontal="center" vertical="center"/>
    </xf>
    <xf numFmtId="165" fontId="69" fillId="21" borderId="112" xfId="9" applyNumberFormat="1" applyFont="1" applyFill="1" applyBorder="1" applyAlignment="1" applyProtection="1">
      <alignment horizontal="center" vertical="center"/>
    </xf>
    <xf numFmtId="165" fontId="69" fillId="21" borderId="68" xfId="9" applyNumberFormat="1" applyFont="1" applyFill="1" applyBorder="1" applyAlignment="1" applyProtection="1">
      <alignment horizontal="center" vertical="center"/>
    </xf>
    <xf numFmtId="0" fontId="69" fillId="3" borderId="265" xfId="9" applyFont="1" applyFill="1" applyBorder="1" applyAlignment="1" applyProtection="1">
      <alignment horizontal="center" vertical="center" wrapText="1"/>
      <protection locked="0"/>
    </xf>
    <xf numFmtId="0" fontId="69" fillId="3" borderId="266" xfId="9" applyFont="1" applyFill="1" applyBorder="1" applyAlignment="1" applyProtection="1">
      <alignment horizontal="center" vertical="center" wrapText="1"/>
      <protection locked="0"/>
    </xf>
    <xf numFmtId="0" fontId="69" fillId="3" borderId="267" xfId="9" applyFont="1" applyFill="1" applyBorder="1" applyAlignment="1" applyProtection="1">
      <alignment horizontal="center" vertical="center" wrapText="1"/>
      <protection locked="0"/>
    </xf>
    <xf numFmtId="0" fontId="69" fillId="3" borderId="109" xfId="9" applyFont="1" applyFill="1" applyBorder="1" applyAlignment="1" applyProtection="1">
      <alignment horizontal="right" vertical="top" wrapText="1"/>
    </xf>
    <xf numFmtId="0" fontId="37" fillId="0" borderId="110" xfId="9" applyFont="1" applyFill="1" applyBorder="1" applyAlignment="1" applyProtection="1">
      <alignment horizontal="center" vertical="center"/>
    </xf>
    <xf numFmtId="165" fontId="58" fillId="5" borderId="262" xfId="9" applyNumberFormat="1" applyFont="1" applyFill="1" applyBorder="1" applyAlignment="1" applyProtection="1">
      <alignment horizontal="center" vertical="center" wrapText="1"/>
    </xf>
    <xf numFmtId="165" fontId="58" fillId="5" borderId="263" xfId="9" applyNumberFormat="1" applyFont="1" applyFill="1" applyBorder="1" applyAlignment="1" applyProtection="1">
      <alignment horizontal="center" vertical="center" wrapText="1"/>
    </xf>
    <xf numFmtId="0" fontId="69" fillId="21" borderId="19" xfId="9" applyNumberFormat="1" applyFont="1" applyFill="1" applyBorder="1" applyAlignment="1" applyProtection="1">
      <alignment horizontal="center" vertical="center" wrapText="1"/>
    </xf>
    <xf numFmtId="165" fontId="58" fillId="5" borderId="92" xfId="9" applyNumberFormat="1" applyFont="1" applyFill="1" applyBorder="1" applyAlignment="1" applyProtection="1">
      <alignment horizontal="center" vertical="center" wrapText="1"/>
    </xf>
    <xf numFmtId="165" fontId="58" fillId="5" borderId="68" xfId="9" applyNumberFormat="1" applyFont="1" applyFill="1" applyBorder="1" applyAlignment="1" applyProtection="1">
      <alignment horizontal="center" vertical="center" wrapText="1"/>
    </xf>
    <xf numFmtId="0" fontId="69" fillId="3" borderId="0" xfId="9" quotePrefix="1" applyFont="1" applyFill="1" applyBorder="1" applyAlignment="1" applyProtection="1">
      <alignment horizontal="right" vertical="center" wrapText="1"/>
    </xf>
    <xf numFmtId="0" fontId="69" fillId="0" borderId="265" xfId="9" applyFont="1" applyBorder="1" applyAlignment="1" applyProtection="1">
      <alignment horizontal="center" vertical="center"/>
      <protection locked="0"/>
    </xf>
    <xf numFmtId="0" fontId="69" fillId="0" borderId="267" xfId="9" applyFont="1" applyBorder="1" applyAlignment="1" applyProtection="1">
      <alignment horizontal="center" vertical="center"/>
      <protection locked="0"/>
    </xf>
    <xf numFmtId="0" fontId="69" fillId="0" borderId="109" xfId="9" applyFont="1" applyBorder="1" applyAlignment="1" applyProtection="1">
      <alignment horizontal="right" vertical="center"/>
    </xf>
    <xf numFmtId="0" fontId="69" fillId="0" borderId="0" xfId="9" applyFont="1" applyBorder="1" applyAlignment="1" applyProtection="1">
      <alignment horizontal="right" vertical="center"/>
    </xf>
    <xf numFmtId="167" fontId="58" fillId="5" borderId="112" xfId="2" applyNumberFormat="1" applyFont="1" applyFill="1" applyBorder="1" applyAlignment="1" applyProtection="1">
      <alignment horizontal="center" vertical="center" wrapText="1"/>
    </xf>
    <xf numFmtId="0" fontId="77" fillId="3" borderId="0" xfId="9" quotePrefix="1" applyFont="1" applyFill="1" applyBorder="1" applyAlignment="1" applyProtection="1">
      <alignment horizontal="center" vertical="center"/>
    </xf>
    <xf numFmtId="0" fontId="69" fillId="3" borderId="0" xfId="9" applyFont="1" applyFill="1" applyBorder="1" applyAlignment="1" applyProtection="1">
      <alignment horizontal="left" vertical="top" wrapText="1"/>
    </xf>
    <xf numFmtId="10" fontId="58" fillId="21" borderId="92" xfId="2" applyNumberFormat="1" applyFont="1" applyFill="1" applyBorder="1" applyAlignment="1" applyProtection="1">
      <alignment horizontal="center" vertical="center" wrapText="1"/>
    </xf>
    <xf numFmtId="10" fontId="58" fillId="21" borderId="112" xfId="2" applyNumberFormat="1" applyFont="1" applyFill="1" applyBorder="1" applyAlignment="1" applyProtection="1">
      <alignment horizontal="center" vertical="center" wrapText="1"/>
    </xf>
    <xf numFmtId="10" fontId="58" fillId="21" borderId="68" xfId="2" applyNumberFormat="1" applyFont="1" applyFill="1" applyBorder="1" applyAlignment="1" applyProtection="1">
      <alignment horizontal="center" vertical="center" wrapText="1"/>
    </xf>
    <xf numFmtId="0" fontId="69" fillId="3" borderId="0" xfId="9" applyFont="1" applyFill="1" applyBorder="1" applyAlignment="1" applyProtection="1">
      <alignment horizontal="left" wrapText="1"/>
    </xf>
    <xf numFmtId="0" fontId="69" fillId="3" borderId="16" xfId="9" applyFont="1" applyFill="1" applyBorder="1" applyAlignment="1" applyProtection="1">
      <alignment horizontal="left" wrapText="1"/>
    </xf>
    <xf numFmtId="0" fontId="69" fillId="3" borderId="111" xfId="9" applyFont="1" applyFill="1" applyBorder="1" applyAlignment="1" applyProtection="1">
      <alignment horizontal="right" vertical="center" wrapText="1"/>
    </xf>
    <xf numFmtId="165" fontId="69" fillId="21" borderId="92" xfId="9" applyNumberFormat="1" applyFont="1" applyFill="1" applyBorder="1" applyAlignment="1" applyProtection="1">
      <alignment horizontal="center" vertical="center" wrapText="1"/>
    </xf>
    <xf numFmtId="165" fontId="69" fillId="21" borderId="68" xfId="9" applyNumberFormat="1" applyFont="1" applyFill="1" applyBorder="1" applyAlignment="1" applyProtection="1">
      <alignment horizontal="center" vertical="center" wrapText="1"/>
    </xf>
    <xf numFmtId="166" fontId="69" fillId="21" borderId="92" xfId="9" applyNumberFormat="1" applyFont="1" applyFill="1" applyBorder="1" applyAlignment="1" applyProtection="1">
      <alignment horizontal="center" vertical="center" wrapText="1"/>
    </xf>
    <xf numFmtId="166" fontId="69" fillId="21" borderId="68" xfId="9" applyNumberFormat="1" applyFont="1" applyFill="1" applyBorder="1" applyAlignment="1" applyProtection="1">
      <alignment horizontal="center" vertical="center" wrapText="1"/>
    </xf>
    <xf numFmtId="0" fontId="69" fillId="3" borderId="265" xfId="9" applyFont="1" applyFill="1" applyBorder="1" applyAlignment="1" applyProtection="1">
      <alignment horizontal="left" vertical="center"/>
      <protection locked="0"/>
    </xf>
    <xf numFmtId="0" fontId="69" fillId="3" borderId="266" xfId="9" applyFont="1" applyFill="1" applyBorder="1" applyAlignment="1" applyProtection="1">
      <alignment horizontal="left" vertical="center"/>
      <protection locked="0"/>
    </xf>
    <xf numFmtId="0" fontId="69" fillId="3" borderId="267" xfId="9" applyFont="1" applyFill="1" applyBorder="1" applyAlignment="1" applyProtection="1">
      <alignment horizontal="left" vertical="center"/>
      <protection locked="0"/>
    </xf>
    <xf numFmtId="0" fontId="69" fillId="0" borderId="272" xfId="9" applyFont="1" applyBorder="1" applyAlignment="1" applyProtection="1">
      <alignment horizontal="right" vertical="center"/>
    </xf>
    <xf numFmtId="0" fontId="69" fillId="3" borderId="0" xfId="9" applyFont="1" applyFill="1" applyBorder="1" applyAlignment="1" applyProtection="1">
      <alignment horizontal="center" vertical="center" wrapText="1"/>
    </xf>
    <xf numFmtId="0" fontId="69" fillId="3" borderId="0" xfId="9" applyFont="1" applyFill="1" applyBorder="1" applyAlignment="1" applyProtection="1">
      <alignment horizontal="right"/>
    </xf>
    <xf numFmtId="0" fontId="69" fillId="21" borderId="92" xfId="9" applyFont="1" applyFill="1" applyBorder="1" applyAlignment="1" applyProtection="1">
      <alignment horizontal="center" vertical="center"/>
    </xf>
    <xf numFmtId="0" fontId="69" fillId="21" borderId="68" xfId="9" applyFont="1" applyFill="1" applyBorder="1" applyAlignment="1" applyProtection="1">
      <alignment horizontal="center" vertical="center"/>
    </xf>
    <xf numFmtId="3" fontId="69" fillId="21" borderId="92" xfId="9" applyNumberFormat="1" applyFont="1" applyFill="1" applyBorder="1" applyAlignment="1" applyProtection="1">
      <alignment horizontal="center" vertical="center" wrapText="1"/>
    </xf>
    <xf numFmtId="3" fontId="69" fillId="21" borderId="68" xfId="9" applyNumberFormat="1" applyFont="1" applyFill="1" applyBorder="1" applyAlignment="1" applyProtection="1">
      <alignment horizontal="center" vertical="center" wrapText="1"/>
    </xf>
    <xf numFmtId="0" fontId="69" fillId="3" borderId="0" xfId="26" applyFont="1" applyFill="1" applyBorder="1" applyAlignment="1" applyProtection="1">
      <alignment horizontal="right" vertical="center"/>
    </xf>
    <xf numFmtId="0" fontId="69" fillId="3" borderId="16" xfId="26" applyFont="1" applyFill="1" applyBorder="1" applyAlignment="1" applyProtection="1">
      <alignment horizontal="right" vertical="center"/>
    </xf>
    <xf numFmtId="165" fontId="69" fillId="21" borderId="32" xfId="0" applyNumberFormat="1" applyFont="1" applyFill="1" applyBorder="1" applyAlignment="1" applyProtection="1">
      <alignment horizontal="left" vertical="center"/>
    </xf>
    <xf numFmtId="165" fontId="69" fillId="21" borderId="14" xfId="0" applyNumberFormat="1" applyFont="1" applyFill="1" applyBorder="1" applyAlignment="1" applyProtection="1">
      <alignment horizontal="left" vertical="center"/>
    </xf>
    <xf numFmtId="0" fontId="24" fillId="0" borderId="0" xfId="3" applyFont="1" applyBorder="1" applyAlignment="1" applyProtection="1">
      <alignment horizontal="left"/>
    </xf>
    <xf numFmtId="0" fontId="21" fillId="0" borderId="0" xfId="3" applyFont="1" applyAlignment="1" applyProtection="1">
      <alignment horizontal="left" vertical="top" wrapText="1"/>
      <protection locked="0"/>
    </xf>
    <xf numFmtId="165" fontId="69" fillId="3" borderId="297" xfId="3" applyNumberFormat="1" applyFont="1" applyFill="1" applyBorder="1" applyAlignment="1" applyProtection="1">
      <alignment horizontal="center" vertical="center"/>
      <protection locked="0"/>
    </xf>
    <xf numFmtId="165" fontId="69" fillId="3" borderId="298" xfId="3" applyNumberFormat="1" applyFont="1" applyFill="1" applyBorder="1" applyAlignment="1" applyProtection="1">
      <alignment horizontal="center" vertical="center"/>
      <protection locked="0"/>
    </xf>
    <xf numFmtId="165" fontId="69" fillId="21" borderId="299" xfId="0" applyNumberFormat="1" applyFont="1" applyFill="1" applyBorder="1" applyAlignment="1" applyProtection="1">
      <alignment horizontal="left" vertical="center"/>
    </xf>
    <xf numFmtId="165" fontId="58" fillId="20" borderId="90" xfId="0" applyNumberFormat="1" applyFont="1" applyFill="1" applyBorder="1" applyAlignment="1" applyProtection="1">
      <alignment horizontal="center" vertical="center"/>
    </xf>
    <xf numFmtId="168" fontId="58" fillId="20" borderId="90" xfId="2" applyNumberFormat="1" applyFont="1" applyFill="1" applyBorder="1" applyAlignment="1" applyProtection="1">
      <alignment horizontal="center" vertical="center"/>
    </xf>
    <xf numFmtId="168" fontId="58" fillId="20" borderId="91" xfId="2" applyNumberFormat="1" applyFont="1" applyFill="1" applyBorder="1" applyAlignment="1" applyProtection="1">
      <alignment horizontal="center" vertical="center"/>
    </xf>
    <xf numFmtId="168" fontId="69" fillId="21" borderId="32" xfId="2" applyNumberFormat="1" applyFont="1" applyFill="1" applyBorder="1" applyAlignment="1" applyProtection="1">
      <alignment horizontal="center" vertical="center"/>
    </xf>
    <xf numFmtId="168" fontId="69" fillId="21" borderId="29" xfId="2" applyNumberFormat="1" applyFont="1" applyFill="1" applyBorder="1" applyAlignment="1" applyProtection="1">
      <alignment horizontal="center" vertical="center"/>
    </xf>
    <xf numFmtId="165" fontId="58" fillId="20" borderId="89" xfId="0" applyNumberFormat="1" applyFont="1" applyFill="1" applyBorder="1" applyAlignment="1" applyProtection="1">
      <alignment horizontal="center" vertical="center"/>
    </xf>
    <xf numFmtId="165" fontId="69" fillId="21" borderId="14" xfId="0" applyNumberFormat="1" applyFont="1" applyFill="1" applyBorder="1" applyAlignment="1" applyProtection="1">
      <alignment horizontal="center" vertical="center"/>
    </xf>
    <xf numFmtId="165" fontId="69" fillId="21" borderId="29" xfId="0" applyNumberFormat="1" applyFont="1" applyFill="1" applyBorder="1" applyAlignment="1" applyProtection="1">
      <alignment horizontal="center" vertical="center"/>
    </xf>
    <xf numFmtId="0" fontId="82" fillId="3" borderId="0" xfId="19" applyFont="1" applyFill="1" applyBorder="1" applyAlignment="1" applyProtection="1">
      <alignment horizontal="center" vertical="top" wrapText="1"/>
    </xf>
    <xf numFmtId="49" fontId="34" fillId="30" borderId="0" xfId="3" applyNumberFormat="1" applyFont="1" applyFill="1" applyBorder="1" applyAlignment="1" applyProtection="1">
      <alignment horizontal="center" vertical="center"/>
    </xf>
    <xf numFmtId="49" fontId="34" fillId="30" borderId="22" xfId="3" applyNumberFormat="1" applyFont="1" applyFill="1" applyBorder="1" applyAlignment="1" applyProtection="1">
      <alignment horizontal="center" vertical="center"/>
    </xf>
    <xf numFmtId="49" fontId="34" fillId="30" borderId="45" xfId="3" applyNumberFormat="1" applyFont="1" applyFill="1" applyBorder="1" applyAlignment="1" applyProtection="1">
      <alignment horizontal="center" vertical="center"/>
    </xf>
    <xf numFmtId="168" fontId="34" fillId="30" borderId="45" xfId="3" applyNumberFormat="1" applyFont="1" applyFill="1" applyBorder="1" applyAlignment="1" applyProtection="1">
      <alignment horizontal="center" vertical="center"/>
    </xf>
    <xf numFmtId="168" fontId="34" fillId="30" borderId="0" xfId="3" applyNumberFormat="1" applyFont="1" applyFill="1" applyBorder="1" applyAlignment="1" applyProtection="1">
      <alignment horizontal="center" vertical="center"/>
    </xf>
    <xf numFmtId="165" fontId="69" fillId="21" borderId="32" xfId="0" applyNumberFormat="1" applyFont="1" applyFill="1" applyBorder="1" applyAlignment="1" applyProtection="1">
      <alignment horizontal="center" vertical="center"/>
    </xf>
    <xf numFmtId="0" fontId="21" fillId="3" borderId="0" xfId="3" applyFont="1" applyFill="1" applyBorder="1" applyAlignment="1" applyProtection="1">
      <alignment horizontal="right"/>
    </xf>
    <xf numFmtId="0" fontId="21" fillId="3" borderId="337" xfId="3" applyFont="1" applyFill="1" applyBorder="1" applyAlignment="1" applyProtection="1">
      <alignment horizontal="right"/>
    </xf>
    <xf numFmtId="165" fontId="20" fillId="22" borderId="335" xfId="0" applyNumberFormat="1" applyFont="1" applyFill="1" applyBorder="1" applyAlignment="1" applyProtection="1">
      <alignment horizontal="center" vertical="center"/>
    </xf>
    <xf numFmtId="165" fontId="20" fillId="22" borderId="336" xfId="0" applyNumberFormat="1" applyFont="1" applyFill="1" applyBorder="1" applyAlignment="1" applyProtection="1">
      <alignment horizontal="center" vertical="center"/>
    </xf>
    <xf numFmtId="49" fontId="152" fillId="3" borderId="47" xfId="3" applyNumberFormat="1" applyFont="1" applyFill="1" applyBorder="1" applyAlignment="1" applyProtection="1">
      <alignment horizontal="left" vertical="center"/>
    </xf>
    <xf numFmtId="0" fontId="27" fillId="3" borderId="0" xfId="3" applyFont="1" applyFill="1" applyBorder="1" applyAlignment="1" applyProtection="1">
      <alignment horizontal="right" vertical="center"/>
    </xf>
    <xf numFmtId="0" fontId="27" fillId="3" borderId="9" xfId="3" applyFont="1" applyFill="1" applyBorder="1" applyAlignment="1" applyProtection="1">
      <alignment horizontal="right" vertical="center"/>
    </xf>
    <xf numFmtId="0" fontId="21" fillId="0" borderId="0" xfId="3" applyFont="1" applyBorder="1" applyAlignment="1" applyProtection="1">
      <alignment horizontal="left" vertical="top" wrapText="1"/>
      <protection locked="0"/>
    </xf>
    <xf numFmtId="165" fontId="69" fillId="3" borderId="300" xfId="3" applyNumberFormat="1" applyFont="1" applyFill="1" applyBorder="1" applyAlignment="1" applyProtection="1">
      <alignment horizontal="center" vertical="center"/>
      <protection locked="0"/>
    </xf>
    <xf numFmtId="165" fontId="69" fillId="3" borderId="301" xfId="3" applyNumberFormat="1" applyFont="1" applyFill="1" applyBorder="1" applyAlignment="1" applyProtection="1">
      <alignment horizontal="center" vertical="center"/>
      <protection locked="0"/>
    </xf>
    <xf numFmtId="0" fontId="69" fillId="3" borderId="14" xfId="0" applyFont="1" applyFill="1" applyBorder="1" applyAlignment="1" applyProtection="1">
      <alignment horizontal="left" vertical="center"/>
      <protection locked="0"/>
    </xf>
    <xf numFmtId="0" fontId="69" fillId="3" borderId="299" xfId="0" applyFont="1" applyFill="1" applyBorder="1" applyAlignment="1" applyProtection="1">
      <alignment horizontal="left" vertical="center"/>
      <protection locked="0"/>
    </xf>
    <xf numFmtId="168" fontId="34" fillId="30" borderId="44" xfId="3" applyNumberFormat="1" applyFont="1" applyFill="1" applyBorder="1" applyAlignment="1" applyProtection="1">
      <alignment horizontal="center" vertical="center"/>
    </xf>
    <xf numFmtId="49" fontId="34" fillId="30" borderId="44" xfId="3" applyNumberFormat="1" applyFont="1" applyFill="1" applyBorder="1" applyAlignment="1" applyProtection="1">
      <alignment horizontal="center" vertical="center"/>
    </xf>
    <xf numFmtId="0" fontId="15" fillId="3" borderId="0" xfId="3" applyFont="1" applyFill="1" applyBorder="1" applyAlignment="1" applyProtection="1">
      <alignment horizontal="center" vertical="center"/>
    </xf>
    <xf numFmtId="0" fontId="132" fillId="0" borderId="0" xfId="3" applyFont="1" applyBorder="1" applyAlignment="1" applyProtection="1">
      <alignment horizontal="left" vertical="center"/>
    </xf>
    <xf numFmtId="0" fontId="156" fillId="3" borderId="0" xfId="3" applyFont="1" applyFill="1" applyBorder="1" applyAlignment="1">
      <alignment horizontal="right" vertical="center"/>
    </xf>
    <xf numFmtId="0" fontId="21" fillId="3" borderId="0" xfId="3" applyFont="1" applyFill="1" applyBorder="1" applyAlignment="1" applyProtection="1">
      <alignment horizontal="left" vertical="top" wrapText="1"/>
      <protection locked="0"/>
    </xf>
    <xf numFmtId="165" fontId="69" fillId="21" borderId="302" xfId="0" applyNumberFormat="1" applyFont="1" applyFill="1" applyBorder="1" applyAlignment="1" applyProtection="1">
      <alignment horizontal="center" vertical="center"/>
    </xf>
    <xf numFmtId="0" fontId="139" fillId="21" borderId="32" xfId="0" applyNumberFormat="1" applyFont="1" applyFill="1" applyBorder="1" applyAlignment="1" applyProtection="1">
      <alignment horizontal="left" vertical="center"/>
    </xf>
    <xf numFmtId="0" fontId="139" fillId="21" borderId="29" xfId="0" applyNumberFormat="1" applyFont="1" applyFill="1" applyBorder="1" applyAlignment="1" applyProtection="1">
      <alignment horizontal="left" vertical="center"/>
    </xf>
    <xf numFmtId="0" fontId="27" fillId="3" borderId="0" xfId="3" applyFont="1" applyFill="1" applyBorder="1" applyAlignment="1">
      <alignment horizontal="right" vertical="center"/>
    </xf>
    <xf numFmtId="165" fontId="69" fillId="3" borderId="303" xfId="3" applyNumberFormat="1" applyFont="1" applyFill="1" applyBorder="1" applyAlignment="1" applyProtection="1">
      <alignment horizontal="center" vertical="center"/>
      <protection locked="0"/>
    </xf>
    <xf numFmtId="165" fontId="69" fillId="3" borderId="304" xfId="3" applyNumberFormat="1" applyFont="1" applyFill="1" applyBorder="1" applyAlignment="1" applyProtection="1">
      <alignment horizontal="center" vertical="center"/>
      <protection locked="0"/>
    </xf>
    <xf numFmtId="165" fontId="69" fillId="21" borderId="307" xfId="0" applyNumberFormat="1" applyFont="1" applyFill="1" applyBorder="1" applyAlignment="1" applyProtection="1">
      <alignment horizontal="center" vertical="center"/>
    </xf>
    <xf numFmtId="165" fontId="69" fillId="21" borderId="295" xfId="0" applyNumberFormat="1" applyFont="1" applyFill="1" applyBorder="1" applyAlignment="1" applyProtection="1">
      <alignment horizontal="center" vertical="center"/>
    </xf>
    <xf numFmtId="168" fontId="69" fillId="21" borderId="19" xfId="2" applyNumberFormat="1" applyFont="1" applyFill="1" applyBorder="1" applyAlignment="1" applyProtection="1">
      <alignment horizontal="center" vertical="center"/>
    </xf>
    <xf numFmtId="165" fontId="69" fillId="21" borderId="19" xfId="0" applyNumberFormat="1" applyFont="1" applyFill="1" applyBorder="1" applyAlignment="1" applyProtection="1">
      <alignment horizontal="center" vertical="center"/>
    </xf>
    <xf numFmtId="165" fontId="69" fillId="21" borderId="71" xfId="0" applyNumberFormat="1" applyFont="1" applyFill="1" applyBorder="1" applyAlignment="1" applyProtection="1">
      <alignment horizontal="center" vertical="center"/>
    </xf>
    <xf numFmtId="165" fontId="69" fillId="21" borderId="149" xfId="0" applyNumberFormat="1" applyFont="1" applyFill="1" applyBorder="1" applyAlignment="1" applyProtection="1">
      <alignment horizontal="center" vertical="center"/>
    </xf>
    <xf numFmtId="168" fontId="69" fillId="21" borderId="71" xfId="2" applyNumberFormat="1" applyFont="1" applyFill="1" applyBorder="1" applyAlignment="1" applyProtection="1">
      <alignment horizontal="center" vertical="center"/>
    </xf>
    <xf numFmtId="168" fontId="69" fillId="21" borderId="73" xfId="2" applyNumberFormat="1" applyFont="1" applyFill="1" applyBorder="1" applyAlignment="1" applyProtection="1">
      <alignment horizontal="center" vertical="center"/>
    </xf>
    <xf numFmtId="165" fontId="69" fillId="21" borderId="294" xfId="0" applyNumberFormat="1" applyFont="1" applyFill="1" applyBorder="1" applyAlignment="1" applyProtection="1">
      <alignment horizontal="center" vertical="center"/>
    </xf>
    <xf numFmtId="165" fontId="69" fillId="21" borderId="296" xfId="0" applyNumberFormat="1" applyFont="1" applyFill="1" applyBorder="1" applyAlignment="1" applyProtection="1">
      <alignment horizontal="center" vertical="center"/>
    </xf>
    <xf numFmtId="168" fontId="69" fillId="21" borderId="294" xfId="2" applyNumberFormat="1" applyFont="1" applyFill="1" applyBorder="1" applyAlignment="1" applyProtection="1">
      <alignment horizontal="center" vertical="center"/>
    </xf>
    <xf numFmtId="168" fontId="69" fillId="21" borderId="295" xfId="2" applyNumberFormat="1" applyFont="1" applyFill="1" applyBorder="1" applyAlignment="1" applyProtection="1">
      <alignment horizontal="center" vertical="center"/>
    </xf>
    <xf numFmtId="0" fontId="69" fillId="8" borderId="32" xfId="0" applyNumberFormat="1" applyFont="1" applyFill="1" applyBorder="1" applyAlignment="1" applyProtection="1">
      <alignment horizontal="left" vertical="center"/>
      <protection locked="0"/>
    </xf>
    <xf numFmtId="0" fontId="69" fillId="8" borderId="29" xfId="0" applyNumberFormat="1" applyFont="1" applyFill="1" applyBorder="1" applyAlignment="1" applyProtection="1">
      <alignment horizontal="left" vertical="center"/>
      <protection locked="0"/>
    </xf>
    <xf numFmtId="14" fontId="20" fillId="3" borderId="92" xfId="3" applyNumberFormat="1" applyFont="1" applyFill="1" applyBorder="1" applyAlignment="1" applyProtection="1">
      <alignment horizontal="center" vertical="center"/>
      <protection locked="0"/>
    </xf>
    <xf numFmtId="14" fontId="20" fillId="3" borderId="68" xfId="3" applyNumberFormat="1" applyFont="1" applyFill="1" applyBorder="1" applyAlignment="1" applyProtection="1">
      <alignment horizontal="center" vertical="center"/>
      <protection locked="0"/>
    </xf>
    <xf numFmtId="0" fontId="125" fillId="3" borderId="0" xfId="3" applyFont="1" applyFill="1" applyAlignment="1" applyProtection="1">
      <alignment horizontal="right" vertical="center"/>
    </xf>
    <xf numFmtId="0" fontId="125" fillId="3" borderId="16" xfId="3" applyFont="1" applyFill="1" applyBorder="1" applyAlignment="1" applyProtection="1">
      <alignment horizontal="right" vertical="center"/>
    </xf>
    <xf numFmtId="165" fontId="108" fillId="5" borderId="169" xfId="0" applyNumberFormat="1" applyFont="1" applyFill="1" applyBorder="1" applyAlignment="1" applyProtection="1">
      <alignment horizontal="center" vertical="center"/>
    </xf>
    <xf numFmtId="165" fontId="108" fillId="5" borderId="170" xfId="0" applyNumberFormat="1" applyFont="1" applyFill="1" applyBorder="1" applyAlignment="1" applyProtection="1">
      <alignment horizontal="center" vertical="center"/>
    </xf>
    <xf numFmtId="165" fontId="108" fillId="5" borderId="260" xfId="0" applyNumberFormat="1" applyFont="1" applyFill="1" applyBorder="1" applyAlignment="1" applyProtection="1">
      <alignment horizontal="center" vertical="center"/>
    </xf>
    <xf numFmtId="165" fontId="108" fillId="5" borderId="261" xfId="0" applyNumberFormat="1" applyFont="1" applyFill="1" applyBorder="1" applyAlignment="1" applyProtection="1">
      <alignment horizontal="center" vertical="center"/>
    </xf>
    <xf numFmtId="168" fontId="108" fillId="5" borderId="170" xfId="2" applyNumberFormat="1" applyFont="1" applyFill="1" applyBorder="1" applyAlignment="1" applyProtection="1">
      <alignment horizontal="center" vertical="center"/>
    </xf>
    <xf numFmtId="168" fontId="108" fillId="5" borderId="293" xfId="2" applyNumberFormat="1" applyFont="1" applyFill="1" applyBorder="1" applyAlignment="1" applyProtection="1">
      <alignment horizontal="center" vertical="center"/>
    </xf>
    <xf numFmtId="0" fontId="140" fillId="0" borderId="0" xfId="0" applyFont="1" applyFill="1" applyBorder="1" applyAlignment="1" applyProtection="1">
      <alignment horizontal="right" vertical="center"/>
    </xf>
    <xf numFmtId="165" fontId="108" fillId="22" borderId="179" xfId="0" applyNumberFormat="1" applyFont="1" applyFill="1" applyBorder="1" applyAlignment="1" applyProtection="1">
      <alignment horizontal="center" vertical="center"/>
    </xf>
    <xf numFmtId="165" fontId="108" fillId="22" borderId="180" xfId="0" applyNumberFormat="1" applyFont="1" applyFill="1" applyBorder="1" applyAlignment="1" applyProtection="1">
      <alignment horizontal="center" vertical="center"/>
    </xf>
    <xf numFmtId="168" fontId="108" fillId="22" borderId="180" xfId="2" applyNumberFormat="1" applyFont="1" applyFill="1" applyBorder="1" applyAlignment="1" applyProtection="1">
      <alignment horizontal="center" vertical="center"/>
    </xf>
    <xf numFmtId="168" fontId="108" fillId="22" borderId="306" xfId="2" applyNumberFormat="1" applyFont="1" applyFill="1" applyBorder="1" applyAlignment="1" applyProtection="1">
      <alignment horizontal="center" vertical="center"/>
    </xf>
    <xf numFmtId="165" fontId="20" fillId="8" borderId="0" xfId="0" applyNumberFormat="1" applyFont="1" applyFill="1" applyBorder="1" applyAlignment="1" applyProtection="1">
      <alignment horizontal="center" vertical="center"/>
    </xf>
    <xf numFmtId="0" fontId="132" fillId="3" borderId="0" xfId="3" applyFont="1" applyFill="1" applyBorder="1" applyAlignment="1" applyProtection="1">
      <alignment horizontal="left"/>
    </xf>
    <xf numFmtId="0" fontId="21" fillId="3" borderId="0" xfId="0" applyFont="1" applyFill="1" applyAlignment="1" applyProtection="1">
      <alignment horizontal="center"/>
    </xf>
    <xf numFmtId="0" fontId="38" fillId="3" borderId="0" xfId="0" applyFont="1" applyFill="1" applyAlignment="1" applyProtection="1">
      <alignment horizontal="right" vertical="top"/>
      <protection hidden="1"/>
    </xf>
    <xf numFmtId="0" fontId="52" fillId="17" borderId="26" xfId="0" applyFont="1" applyFill="1" applyBorder="1" applyAlignment="1" applyProtection="1">
      <alignment horizontal="left" vertical="center"/>
    </xf>
    <xf numFmtId="0" fontId="52" fillId="17" borderId="39" xfId="0" applyFont="1" applyFill="1" applyBorder="1" applyAlignment="1" applyProtection="1">
      <alignment horizontal="left" vertical="center"/>
    </xf>
    <xf numFmtId="0" fontId="52" fillId="17" borderId="36" xfId="0" applyFont="1" applyFill="1" applyBorder="1" applyAlignment="1" applyProtection="1">
      <alignment horizontal="left" vertical="center"/>
    </xf>
    <xf numFmtId="0" fontId="52" fillId="17" borderId="38" xfId="0" applyFont="1" applyFill="1" applyBorder="1" applyAlignment="1" applyProtection="1">
      <alignment horizontal="left" vertical="center"/>
    </xf>
    <xf numFmtId="0" fontId="34" fillId="17" borderId="0" xfId="0" applyFont="1" applyFill="1" applyBorder="1" applyAlignment="1" applyProtection="1">
      <alignment horizontal="left" vertical="center"/>
    </xf>
    <xf numFmtId="0" fontId="123" fillId="3" borderId="55" xfId="0" applyFont="1" applyFill="1" applyBorder="1" applyAlignment="1" applyProtection="1">
      <alignment horizontal="right" vertical="center"/>
    </xf>
    <xf numFmtId="0" fontId="110" fillId="3" borderId="0" xfId="0" applyFont="1" applyFill="1" applyBorder="1" applyAlignment="1" applyProtection="1">
      <alignment horizontal="right" vertical="center" wrapText="1"/>
    </xf>
    <xf numFmtId="0" fontId="34" fillId="17" borderId="24" xfId="0" applyFont="1" applyFill="1" applyBorder="1" applyAlignment="1" applyProtection="1">
      <alignment horizontal="left" vertical="center"/>
    </xf>
    <xf numFmtId="0" fontId="34" fillId="17" borderId="51" xfId="0" applyFont="1" applyFill="1" applyBorder="1" applyAlignment="1" applyProtection="1">
      <alignment horizontal="left" vertical="center"/>
    </xf>
    <xf numFmtId="0" fontId="57" fillId="13" borderId="47" xfId="19" applyFont="1" applyFill="1" applyBorder="1" applyAlignment="1" applyProtection="1">
      <alignment horizontal="center" vertical="top" wrapText="1"/>
      <protection locked="0"/>
    </xf>
    <xf numFmtId="0" fontId="38" fillId="3" borderId="0" xfId="0" applyFont="1" applyFill="1" applyBorder="1" applyAlignment="1" applyProtection="1">
      <alignment horizontal="right" vertical="center" wrapText="1"/>
      <protection hidden="1"/>
    </xf>
    <xf numFmtId="0" fontId="38" fillId="0" borderId="0" xfId="0" applyFont="1" applyAlignment="1" applyProtection="1">
      <alignment horizontal="right" vertical="top"/>
    </xf>
    <xf numFmtId="0" fontId="47" fillId="0" borderId="0" xfId="19" applyFont="1" applyFill="1" applyBorder="1" applyAlignment="1" applyProtection="1">
      <alignment horizontal="right" vertical="center"/>
    </xf>
    <xf numFmtId="0" fontId="123" fillId="3" borderId="31" xfId="0" applyFont="1" applyFill="1" applyBorder="1" applyAlignment="1" applyProtection="1">
      <alignment horizontal="right" vertical="center"/>
    </xf>
    <xf numFmtId="0" fontId="123" fillId="3" borderId="46" xfId="0" applyFont="1" applyFill="1" applyBorder="1" applyAlignment="1" applyProtection="1">
      <alignment horizontal="right" vertical="center"/>
    </xf>
    <xf numFmtId="0" fontId="34" fillId="17" borderId="23" xfId="0" applyFont="1" applyFill="1" applyBorder="1" applyAlignment="1" applyProtection="1">
      <alignment horizontal="left" vertical="center"/>
    </xf>
    <xf numFmtId="0" fontId="82" fillId="3" borderId="30" xfId="0" applyFont="1" applyFill="1" applyBorder="1" applyAlignment="1" applyProtection="1">
      <alignment horizontal="center" vertical="top" wrapText="1"/>
    </xf>
    <xf numFmtId="0" fontId="82" fillId="3" borderId="31" xfId="0" applyFont="1" applyFill="1" applyBorder="1" applyAlignment="1" applyProtection="1">
      <alignment horizontal="center" vertical="top" wrapText="1"/>
    </xf>
    <xf numFmtId="0" fontId="14" fillId="3" borderId="0" xfId="0" applyFont="1" applyFill="1" applyBorder="1" applyAlignment="1" applyProtection="1">
      <alignment horizontal="center"/>
    </xf>
    <xf numFmtId="0" fontId="88" fillId="12" borderId="75" xfId="0" applyFont="1" applyFill="1" applyBorder="1" applyAlignment="1" applyProtection="1">
      <alignment horizontal="center" vertical="center" wrapText="1"/>
    </xf>
    <xf numFmtId="0" fontId="88" fillId="12" borderId="76" xfId="0" applyFont="1" applyFill="1" applyBorder="1" applyAlignment="1" applyProtection="1">
      <alignment horizontal="center" vertical="center" wrapText="1"/>
    </xf>
    <xf numFmtId="0" fontId="88" fillId="12" borderId="77" xfId="0" applyFont="1" applyFill="1" applyBorder="1" applyAlignment="1" applyProtection="1">
      <alignment horizontal="center" vertical="center" wrapText="1"/>
    </xf>
    <xf numFmtId="0" fontId="24" fillId="0" borderId="103" xfId="0" applyFont="1" applyBorder="1" applyAlignment="1" applyProtection="1">
      <alignment horizontal="left" vertical="center"/>
    </xf>
    <xf numFmtId="0" fontId="24" fillId="0" borderId="104" xfId="0" applyFont="1" applyBorder="1" applyAlignment="1" applyProtection="1">
      <alignment horizontal="left" vertical="center"/>
    </xf>
    <xf numFmtId="0" fontId="24" fillId="0" borderId="105" xfId="0" applyFont="1" applyBorder="1" applyAlignment="1" applyProtection="1">
      <alignment horizontal="left" vertical="center"/>
    </xf>
    <xf numFmtId="0" fontId="24" fillId="0" borderId="101" xfId="0" applyFont="1" applyBorder="1" applyAlignment="1" applyProtection="1">
      <alignment horizontal="left" vertical="center"/>
    </xf>
    <xf numFmtId="0" fontId="24" fillId="0" borderId="0" xfId="0" applyFont="1" applyBorder="1" applyAlignment="1" applyProtection="1">
      <alignment horizontal="left" vertical="center"/>
    </xf>
    <xf numFmtId="0" fontId="24" fillId="0" borderId="102" xfId="0" applyFont="1" applyBorder="1" applyAlignment="1" applyProtection="1">
      <alignment horizontal="left" vertical="center"/>
    </xf>
    <xf numFmtId="0" fontId="24" fillId="0" borderId="98" xfId="0" applyFont="1" applyBorder="1" applyAlignment="1" applyProtection="1">
      <alignment horizontal="left" vertical="center"/>
    </xf>
    <xf numFmtId="0" fontId="24" fillId="0" borderId="99" xfId="0" applyFont="1" applyBorder="1" applyAlignment="1" applyProtection="1">
      <alignment horizontal="left" vertical="center"/>
    </xf>
    <xf numFmtId="0" fontId="24" fillId="0" borderId="100" xfId="0" applyFont="1" applyBorder="1" applyAlignment="1" applyProtection="1">
      <alignment horizontal="left" vertical="center"/>
    </xf>
    <xf numFmtId="0" fontId="59" fillId="12" borderId="78" xfId="0" applyFont="1" applyFill="1" applyBorder="1" applyAlignment="1" applyProtection="1">
      <alignment horizontal="center" vertical="center"/>
    </xf>
    <xf numFmtId="0" fontId="59" fillId="12" borderId="79" xfId="0" applyFont="1" applyFill="1" applyBorder="1" applyAlignment="1" applyProtection="1">
      <alignment horizontal="center" vertical="center"/>
    </xf>
    <xf numFmtId="0" fontId="59" fillId="12" borderId="80" xfId="0" applyFont="1" applyFill="1" applyBorder="1" applyAlignment="1" applyProtection="1">
      <alignment horizontal="center" vertical="center"/>
    </xf>
    <xf numFmtId="0" fontId="59" fillId="12" borderId="81" xfId="0" applyFont="1" applyFill="1" applyBorder="1" applyAlignment="1" applyProtection="1">
      <alignment horizontal="center" vertical="center"/>
    </xf>
    <xf numFmtId="0" fontId="59" fillId="12" borderId="0" xfId="0" applyFont="1" applyFill="1" applyBorder="1" applyAlignment="1" applyProtection="1">
      <alignment horizontal="center" vertical="center"/>
    </xf>
    <xf numFmtId="0" fontId="59" fillId="12" borderId="82" xfId="0" applyFont="1" applyFill="1" applyBorder="1" applyAlignment="1" applyProtection="1">
      <alignment horizontal="center" vertical="center"/>
    </xf>
    <xf numFmtId="0" fontId="59" fillId="12" borderId="83" xfId="0" applyFont="1" applyFill="1" applyBorder="1" applyAlignment="1" applyProtection="1">
      <alignment horizontal="center" vertical="center"/>
    </xf>
    <xf numFmtId="0" fontId="59" fillId="12" borderId="84" xfId="0" applyFont="1" applyFill="1" applyBorder="1" applyAlignment="1" applyProtection="1">
      <alignment horizontal="center" vertical="center"/>
    </xf>
    <xf numFmtId="0" fontId="59" fillId="12" borderId="85" xfId="0" applyFont="1" applyFill="1" applyBorder="1" applyAlignment="1" applyProtection="1">
      <alignment horizontal="center" vertical="center"/>
    </xf>
    <xf numFmtId="0" fontId="62" fillId="0" borderId="0" xfId="0" applyFont="1" applyAlignment="1" applyProtection="1">
      <alignment horizontal="left"/>
    </xf>
    <xf numFmtId="0" fontId="86" fillId="0" borderId="104" xfId="0" applyFont="1" applyBorder="1" applyAlignment="1" applyProtection="1">
      <alignment horizontal="left"/>
    </xf>
    <xf numFmtId="0" fontId="24" fillId="0" borderId="106" xfId="0" applyFont="1" applyBorder="1" applyAlignment="1" applyProtection="1">
      <alignment horizontal="left" vertical="center"/>
    </xf>
    <xf numFmtId="0" fontId="24" fillId="0" borderId="107" xfId="0" applyFont="1" applyBorder="1" applyAlignment="1" applyProtection="1">
      <alignment horizontal="left" vertical="center"/>
    </xf>
    <xf numFmtId="0" fontId="24" fillId="0" borderId="108" xfId="0" applyFont="1" applyBorder="1" applyAlignment="1" applyProtection="1">
      <alignment horizontal="left" vertical="center"/>
    </xf>
    <xf numFmtId="0" fontId="65" fillId="0" borderId="0" xfId="0" applyFont="1" applyAlignment="1" applyProtection="1">
      <alignment horizontal="left"/>
    </xf>
    <xf numFmtId="0" fontId="59" fillId="3" borderId="0" xfId="0" applyNumberFormat="1" applyFont="1" applyFill="1" applyBorder="1" applyAlignment="1" applyProtection="1">
      <alignment horizontal="right" wrapText="1"/>
    </xf>
    <xf numFmtId="0" fontId="82" fillId="8" borderId="312" xfId="19" applyFont="1" applyFill="1" applyBorder="1" applyAlignment="1" applyProtection="1">
      <alignment horizontal="center" vertical="top" wrapText="1"/>
    </xf>
    <xf numFmtId="0" fontId="82" fillId="8" borderId="116" xfId="19" applyFont="1" applyFill="1" applyBorder="1" applyAlignment="1" applyProtection="1">
      <alignment horizontal="center" vertical="top" wrapText="1"/>
    </xf>
    <xf numFmtId="0" fontId="33" fillId="0" borderId="0" xfId="19" applyFont="1" applyFill="1" applyBorder="1" applyAlignment="1" applyProtection="1">
      <alignment horizontal="right" vertical="center"/>
      <protection locked="0"/>
    </xf>
    <xf numFmtId="0" fontId="57" fillId="3" borderId="0" xfId="0" applyNumberFormat="1" applyFont="1" applyFill="1" applyBorder="1" applyAlignment="1" applyProtection="1">
      <alignment horizontal="right"/>
    </xf>
    <xf numFmtId="0" fontId="57" fillId="3" borderId="39" xfId="0" applyFont="1" applyFill="1" applyBorder="1" applyAlignment="1" applyProtection="1">
      <alignment horizontal="right" vertical="center"/>
    </xf>
    <xf numFmtId="0" fontId="57" fillId="3" borderId="38" xfId="0" applyFont="1" applyFill="1" applyBorder="1" applyAlignment="1" applyProtection="1">
      <alignment horizontal="right" vertical="center"/>
    </xf>
    <xf numFmtId="14" fontId="21" fillId="3" borderId="92" xfId="0" applyNumberFormat="1" applyFont="1" applyFill="1" applyBorder="1" applyAlignment="1" applyProtection="1">
      <alignment horizontal="left"/>
      <protection locked="0"/>
    </xf>
    <xf numFmtId="14" fontId="21" fillId="3" borderId="112" xfId="0" applyNumberFormat="1" applyFont="1" applyFill="1" applyBorder="1" applyAlignment="1" applyProtection="1">
      <alignment horizontal="left"/>
      <protection locked="0"/>
    </xf>
    <xf numFmtId="14" fontId="21" fillId="3" borderId="68" xfId="0" applyNumberFormat="1" applyFont="1" applyFill="1" applyBorder="1" applyAlignment="1" applyProtection="1">
      <alignment horizontal="left"/>
      <protection locked="0"/>
    </xf>
    <xf numFmtId="0" fontId="21" fillId="3" borderId="92" xfId="0" applyNumberFormat="1" applyFont="1" applyFill="1" applyBorder="1" applyAlignment="1" applyProtection="1">
      <alignment horizontal="left"/>
      <protection locked="0"/>
    </xf>
    <xf numFmtId="0" fontId="21" fillId="3" borderId="112" xfId="0" applyNumberFormat="1" applyFont="1" applyFill="1" applyBorder="1" applyAlignment="1" applyProtection="1">
      <alignment horizontal="left"/>
      <protection locked="0"/>
    </xf>
    <xf numFmtId="0" fontId="21" fillId="3" borderId="68" xfId="0" applyNumberFormat="1" applyFont="1" applyFill="1" applyBorder="1" applyAlignment="1" applyProtection="1">
      <alignment horizontal="left"/>
      <protection locked="0"/>
    </xf>
    <xf numFmtId="0" fontId="21" fillId="0" borderId="0" xfId="0" applyFont="1" applyBorder="1" applyAlignment="1" applyProtection="1">
      <alignment horizontal="center" vertical="center"/>
      <protection locked="0"/>
    </xf>
    <xf numFmtId="0" fontId="57" fillId="0" borderId="0" xfId="0" applyFont="1" applyAlignment="1" applyProtection="1">
      <alignment horizontal="left"/>
    </xf>
    <xf numFmtId="0" fontId="21" fillId="21" borderId="32" xfId="0" applyFont="1" applyFill="1" applyBorder="1" applyAlignment="1" applyProtection="1">
      <alignment horizontal="left" vertical="center"/>
    </xf>
    <xf numFmtId="0" fontId="21" fillId="21" borderId="14" xfId="0" applyFont="1" applyFill="1" applyBorder="1" applyAlignment="1" applyProtection="1">
      <alignment horizontal="left" vertical="center"/>
    </xf>
    <xf numFmtId="0" fontId="21" fillId="21" borderId="29" xfId="0" applyFont="1" applyFill="1" applyBorder="1" applyAlignment="1" applyProtection="1">
      <alignment horizontal="left" vertical="center"/>
    </xf>
    <xf numFmtId="0" fontId="151" fillId="3" borderId="0" xfId="0" applyFont="1" applyFill="1" applyBorder="1" applyAlignment="1" applyProtection="1">
      <alignment horizontal="left" wrapText="1"/>
    </xf>
    <xf numFmtId="0" fontId="24" fillId="3" borderId="0" xfId="0" applyFont="1" applyFill="1" applyBorder="1" applyAlignment="1" applyProtection="1">
      <alignment horizontal="right" vertical="top" wrapText="1"/>
    </xf>
    <xf numFmtId="0" fontId="34" fillId="30" borderId="309" xfId="0" applyNumberFormat="1" applyFont="1" applyFill="1" applyBorder="1" applyAlignment="1" applyProtection="1">
      <alignment horizontal="center" vertical="center" wrapText="1"/>
    </xf>
    <xf numFmtId="0" fontId="57" fillId="0" borderId="0" xfId="0" applyFont="1" applyAlignment="1" applyProtection="1">
      <alignment vertical="top"/>
    </xf>
    <xf numFmtId="0" fontId="21" fillId="2" borderId="317" xfId="3" applyNumberFormat="1" applyFont="1" applyFill="1" applyBorder="1" applyAlignment="1" applyProtection="1">
      <alignment horizontal="right" vertical="center"/>
      <protection locked="0"/>
    </xf>
    <xf numFmtId="0" fontId="21" fillId="2" borderId="0" xfId="3" applyNumberFormat="1" applyFont="1" applyFill="1" applyBorder="1" applyAlignment="1" applyProtection="1">
      <alignment horizontal="right" vertical="center"/>
      <protection locked="0"/>
    </xf>
    <xf numFmtId="0" fontId="10" fillId="3" borderId="6" xfId="3" applyNumberFormat="1" applyFill="1" applyBorder="1" applyAlignment="1" applyProtection="1">
      <alignment horizontal="center" vertical="center"/>
      <protection locked="0"/>
    </xf>
    <xf numFmtId="0" fontId="10" fillId="3" borderId="3" xfId="3" applyNumberFormat="1" applyFill="1" applyBorder="1" applyAlignment="1" applyProtection="1">
      <alignment horizontal="center" vertical="center"/>
      <protection locked="0"/>
    </xf>
    <xf numFmtId="0" fontId="21" fillId="3" borderId="6" xfId="3" applyNumberFormat="1" applyFont="1" applyFill="1" applyBorder="1" applyAlignment="1" applyProtection="1">
      <alignment horizontal="center" vertical="center"/>
      <protection locked="0"/>
    </xf>
    <xf numFmtId="0" fontId="21" fillId="3" borderId="3" xfId="3" applyNumberFormat="1" applyFont="1" applyFill="1" applyBorder="1" applyAlignment="1" applyProtection="1">
      <alignment horizontal="center" vertical="center"/>
      <protection locked="0"/>
    </xf>
    <xf numFmtId="0" fontId="21" fillId="2" borderId="9" xfId="3" applyNumberFormat="1" applyFont="1" applyFill="1" applyBorder="1" applyAlignment="1" applyProtection="1">
      <alignment horizontal="right" vertical="center"/>
      <protection locked="0"/>
    </xf>
    <xf numFmtId="183" fontId="21" fillId="0" borderId="0" xfId="3" applyNumberFormat="1" applyFont="1" applyBorder="1" applyAlignment="1" applyProtection="1">
      <alignment horizontal="right"/>
      <protection locked="0"/>
    </xf>
    <xf numFmtId="179" fontId="34" fillId="0" borderId="0" xfId="3" quotePrefix="1" applyNumberFormat="1" applyFont="1" applyFill="1" applyBorder="1" applyAlignment="1" applyProtection="1">
      <alignment horizontal="left"/>
    </xf>
    <xf numFmtId="0" fontId="36" fillId="30" borderId="2" xfId="3" applyNumberFormat="1" applyFont="1" applyFill="1" applyBorder="1" applyAlignment="1" applyProtection="1">
      <alignment horizontal="center" vertical="center" wrapText="1"/>
      <protection locked="0"/>
    </xf>
    <xf numFmtId="0" fontId="36" fillId="30" borderId="5" xfId="3" applyNumberFormat="1" applyFont="1" applyFill="1" applyBorder="1" applyAlignment="1" applyProtection="1">
      <alignment horizontal="center" vertical="center" wrapText="1"/>
      <protection locked="0"/>
    </xf>
    <xf numFmtId="14" fontId="108" fillId="2" borderId="39" xfId="3" applyNumberFormat="1" applyFont="1" applyFill="1" applyBorder="1" applyAlignment="1" applyProtection="1">
      <alignment horizontal="left" vertical="center" wrapText="1"/>
    </xf>
    <xf numFmtId="0" fontId="20" fillId="3" borderId="0" xfId="3" applyNumberFormat="1" applyFont="1" applyFill="1" applyBorder="1" applyAlignment="1" applyProtection="1">
      <alignment horizontal="right" vertical="center"/>
    </xf>
    <xf numFmtId="0" fontId="10" fillId="0" borderId="0" xfId="3"/>
    <xf numFmtId="0" fontId="10" fillId="0" borderId="0" xfId="3" applyBorder="1"/>
    <xf numFmtId="0" fontId="21" fillId="2" borderId="38" xfId="3" applyNumberFormat="1" applyFont="1" applyFill="1" applyBorder="1" applyAlignment="1" applyProtection="1">
      <alignment horizontal="left" vertical="center"/>
    </xf>
    <xf numFmtId="0" fontId="21" fillId="2" borderId="51" xfId="3" applyNumberFormat="1" applyFont="1" applyFill="1" applyBorder="1" applyAlignment="1" applyProtection="1">
      <alignment horizontal="left" vertical="center"/>
    </xf>
    <xf numFmtId="0" fontId="21" fillId="2" borderId="39" xfId="3" applyNumberFormat="1" applyFont="1" applyFill="1" applyBorder="1" applyAlignment="1" applyProtection="1">
      <alignment horizontal="left" vertical="center"/>
    </xf>
    <xf numFmtId="0" fontId="108" fillId="2" borderId="38" xfId="3" applyNumberFormat="1" applyFont="1" applyFill="1" applyBorder="1" applyAlignment="1" applyProtection="1">
      <alignment horizontal="left" vertical="center"/>
    </xf>
    <xf numFmtId="0" fontId="21" fillId="0" borderId="1" xfId="8" applyNumberFormat="1" applyFont="1" applyFill="1" applyBorder="1" applyAlignment="1" applyProtection="1">
      <alignment horizontal="center" vertical="center"/>
    </xf>
    <xf numFmtId="0" fontId="10" fillId="0" borderId="1" xfId="3" applyNumberFormat="1" applyBorder="1" applyAlignment="1" applyProtection="1">
      <alignment horizontal="center" vertical="center"/>
      <protection locked="0"/>
    </xf>
    <xf numFmtId="0" fontId="20" fillId="27" borderId="1" xfId="8" applyNumberFormat="1" applyFont="1" applyFill="1" applyBorder="1" applyAlignment="1" applyProtection="1">
      <alignment horizontal="center" vertical="center"/>
      <protection locked="0"/>
    </xf>
    <xf numFmtId="14" fontId="10" fillId="3" borderId="6" xfId="3" applyNumberFormat="1" applyFill="1" applyBorder="1" applyAlignment="1" applyProtection="1">
      <alignment horizontal="center" vertical="center"/>
      <protection locked="0"/>
    </xf>
    <xf numFmtId="0" fontId="21" fillId="2" borderId="8" xfId="3" applyNumberFormat="1" applyFont="1" applyFill="1" applyBorder="1" applyAlignment="1" applyProtection="1">
      <alignment horizontal="right" vertical="center"/>
      <protection locked="0"/>
    </xf>
    <xf numFmtId="0" fontId="21" fillId="0" borderId="0" xfId="8" applyNumberFormat="1" applyFont="1" applyBorder="1" applyAlignment="1" applyProtection="1">
      <alignment horizontal="left" vertical="center"/>
      <protection locked="0"/>
    </xf>
    <xf numFmtId="0" fontId="21" fillId="0" borderId="9" xfId="8" applyNumberFormat="1" applyFont="1" applyBorder="1" applyAlignment="1" applyProtection="1">
      <alignment horizontal="left" vertical="center"/>
      <protection locked="0"/>
    </xf>
    <xf numFmtId="0" fontId="21" fillId="0" borderId="2" xfId="8" applyNumberFormat="1" applyFont="1" applyFill="1" applyBorder="1" applyAlignment="1" applyProtection="1">
      <alignment horizontal="center" vertical="center"/>
    </xf>
    <xf numFmtId="0" fontId="21" fillId="0" borderId="5" xfId="8" applyNumberFormat="1" applyFont="1" applyFill="1" applyBorder="1" applyAlignment="1" applyProtection="1">
      <alignment horizontal="center" vertical="center"/>
    </xf>
    <xf numFmtId="0" fontId="10" fillId="0" borderId="2" xfId="3" applyNumberFormat="1" applyBorder="1" applyAlignment="1" applyProtection="1">
      <alignment horizontal="center" vertical="center"/>
      <protection locked="0"/>
    </xf>
    <xf numFmtId="0" fontId="10" fillId="0" borderId="5" xfId="3" applyNumberFormat="1" applyBorder="1" applyAlignment="1" applyProtection="1">
      <alignment horizontal="center" vertical="center"/>
      <protection locked="0"/>
    </xf>
    <xf numFmtId="0" fontId="20" fillId="27" borderId="323" xfId="8" applyNumberFormat="1" applyFont="1" applyFill="1" applyBorder="1" applyAlignment="1" applyProtection="1">
      <alignment horizontal="center" vertical="center"/>
      <protection locked="0"/>
    </xf>
    <xf numFmtId="0" fontId="20" fillId="27" borderId="276" xfId="8" applyNumberFormat="1" applyFont="1" applyFill="1" applyBorder="1" applyAlignment="1" applyProtection="1">
      <alignment horizontal="center" vertical="center"/>
      <protection locked="0"/>
    </xf>
    <xf numFmtId="0" fontId="20" fillId="27" borderId="322" xfId="8" applyNumberFormat="1" applyFont="1" applyFill="1" applyBorder="1" applyAlignment="1" applyProtection="1">
      <alignment horizontal="center" vertical="center"/>
      <protection locked="0"/>
    </xf>
    <xf numFmtId="0" fontId="20" fillId="27" borderId="321" xfId="8" applyNumberFormat="1" applyFont="1" applyFill="1" applyBorder="1" applyAlignment="1" applyProtection="1">
      <alignment horizontal="center" vertical="center"/>
      <protection locked="0"/>
    </xf>
    <xf numFmtId="0" fontId="20" fillId="27" borderId="4" xfId="8" applyNumberFormat="1" applyFont="1" applyFill="1" applyBorder="1" applyAlignment="1" applyProtection="1">
      <alignment horizontal="center" vertical="center"/>
      <protection locked="0"/>
    </xf>
    <xf numFmtId="0" fontId="20" fillId="27" borderId="320" xfId="8" applyNumberFormat="1" applyFont="1" applyFill="1" applyBorder="1" applyAlignment="1" applyProtection="1">
      <alignment horizontal="center" vertical="center"/>
      <protection locked="0"/>
    </xf>
    <xf numFmtId="0" fontId="34" fillId="30" borderId="6" xfId="3" applyNumberFormat="1" applyFont="1" applyFill="1" applyBorder="1" applyAlignment="1" applyProtection="1">
      <alignment horizontal="center" vertical="center"/>
    </xf>
    <xf numFmtId="0" fontId="34" fillId="30" borderId="7" xfId="3" applyNumberFormat="1" applyFont="1" applyFill="1" applyBorder="1" applyAlignment="1" applyProtection="1">
      <alignment horizontal="center" vertical="center"/>
    </xf>
    <xf numFmtId="0" fontId="34" fillId="30" borderId="3" xfId="3" applyNumberFormat="1" applyFont="1" applyFill="1" applyBorder="1" applyAlignment="1" applyProtection="1">
      <alignment horizontal="center" vertical="center"/>
    </xf>
    <xf numFmtId="0" fontId="14" fillId="3" borderId="314" xfId="3" applyNumberFormat="1" applyFont="1" applyFill="1" applyBorder="1" applyAlignment="1" applyProtection="1">
      <alignment horizontal="center" vertical="center"/>
      <protection locked="0"/>
    </xf>
    <xf numFmtId="0" fontId="21" fillId="0" borderId="0" xfId="3" applyNumberFormat="1" applyFont="1" applyBorder="1" applyAlignment="1" applyProtection="1">
      <alignment horizontal="center" vertical="top" wrapText="1"/>
      <protection locked="0"/>
    </xf>
    <xf numFmtId="0" fontId="21" fillId="0" borderId="0" xfId="3" applyNumberFormat="1" applyFont="1" applyBorder="1" applyAlignment="1" applyProtection="1">
      <alignment horizontal="right"/>
      <protection locked="0"/>
    </xf>
    <xf numFmtId="0" fontId="21" fillId="0" borderId="0" xfId="3" applyNumberFormat="1" applyFont="1" applyBorder="1" applyAlignment="1" applyProtection="1">
      <alignment horizontal="left"/>
    </xf>
    <xf numFmtId="0" fontId="20" fillId="27" borderId="6" xfId="3" applyNumberFormat="1" applyFont="1" applyFill="1" applyBorder="1" applyAlignment="1" applyProtection="1">
      <alignment horizontal="center" vertical="top"/>
      <protection locked="0"/>
    </xf>
    <xf numFmtId="0" fontId="20" fillId="27" borderId="7" xfId="3" applyNumberFormat="1" applyFont="1" applyFill="1" applyBorder="1" applyAlignment="1" applyProtection="1">
      <alignment horizontal="center" vertical="top"/>
      <protection locked="0"/>
    </xf>
    <xf numFmtId="0" fontId="20" fillId="27" borderId="3" xfId="3" applyNumberFormat="1" applyFont="1" applyFill="1" applyBorder="1" applyAlignment="1" applyProtection="1">
      <alignment horizontal="center" vertical="top"/>
      <protection locked="0"/>
    </xf>
    <xf numFmtId="0" fontId="20" fillId="27" borderId="1" xfId="3" applyNumberFormat="1" applyFont="1" applyFill="1" applyBorder="1" applyAlignment="1" applyProtection="1">
      <alignment horizontal="left" vertical="center"/>
      <protection locked="0"/>
    </xf>
    <xf numFmtId="0" fontId="21" fillId="0" borderId="0" xfId="3" applyNumberFormat="1" applyFont="1" applyBorder="1" applyAlignment="1" applyProtection="1">
      <alignment horizontal="left" vertical="center"/>
    </xf>
    <xf numFmtId="0" fontId="36" fillId="30" borderId="1" xfId="3" applyNumberFormat="1" applyFont="1" applyFill="1" applyBorder="1" applyAlignment="1" applyProtection="1">
      <alignment horizontal="center" vertical="center" wrapText="1"/>
      <protection locked="0"/>
    </xf>
    <xf numFmtId="178" fontId="36" fillId="30" borderId="321" xfId="3" applyNumberFormat="1" applyFont="1" applyFill="1" applyBorder="1" applyAlignment="1" applyProtection="1">
      <alignment horizontal="center" vertical="center" wrapText="1"/>
    </xf>
    <xf numFmtId="178" fontId="36" fillId="30" borderId="320" xfId="3" applyNumberFormat="1" applyFont="1" applyFill="1" applyBorder="1" applyAlignment="1" applyProtection="1">
      <alignment horizontal="center" vertical="center" wrapText="1"/>
    </xf>
    <xf numFmtId="0" fontId="20" fillId="27" borderId="326" xfId="3" applyNumberFormat="1" applyFont="1" applyFill="1" applyBorder="1" applyAlignment="1" applyProtection="1">
      <alignment horizontal="left" vertical="center"/>
      <protection locked="0"/>
    </xf>
    <xf numFmtId="0" fontId="20" fillId="27" borderId="325" xfId="3" applyNumberFormat="1" applyFont="1" applyFill="1" applyBorder="1" applyAlignment="1" applyProtection="1">
      <alignment horizontal="left" vertical="center"/>
      <protection locked="0"/>
    </xf>
    <xf numFmtId="0" fontId="20" fillId="27" borderId="324" xfId="3" applyNumberFormat="1" applyFont="1" applyFill="1" applyBorder="1" applyAlignment="1" applyProtection="1">
      <alignment horizontal="left" vertical="center"/>
      <protection locked="0"/>
    </xf>
    <xf numFmtId="0" fontId="21" fillId="0" borderId="0" xfId="3" applyNumberFormat="1" applyFont="1" applyBorder="1" applyAlignment="1" applyProtection="1">
      <alignment horizontal="left" vertical="top" wrapText="1"/>
      <protection locked="0"/>
    </xf>
    <xf numFmtId="0" fontId="108" fillId="2" borderId="51" xfId="3" applyNumberFormat="1" applyFont="1" applyFill="1" applyBorder="1" applyAlignment="1" applyProtection="1">
      <alignment horizontal="left" vertical="center"/>
    </xf>
    <xf numFmtId="0" fontId="157" fillId="0" borderId="0" xfId="3" quotePrefix="1" applyNumberFormat="1" applyFont="1" applyBorder="1" applyAlignment="1" applyProtection="1">
      <alignment horizontal="center"/>
      <protection locked="0"/>
    </xf>
    <xf numFmtId="180" fontId="145" fillId="3" borderId="0" xfId="3" applyNumberFormat="1" applyFont="1" applyFill="1" applyBorder="1" applyAlignment="1" applyProtection="1">
      <alignment horizontal="right"/>
    </xf>
    <xf numFmtId="180" fontId="145" fillId="3" borderId="55" xfId="3" applyNumberFormat="1" applyFont="1" applyFill="1" applyBorder="1" applyAlignment="1" applyProtection="1">
      <alignment horizontal="right"/>
    </xf>
    <xf numFmtId="0" fontId="15" fillId="12" borderId="332" xfId="3" applyNumberFormat="1" applyFont="1" applyFill="1" applyBorder="1" applyAlignment="1" applyProtection="1">
      <alignment horizontal="left" vertical="center" wrapText="1"/>
      <protection locked="0"/>
    </xf>
    <xf numFmtId="0" fontId="15" fillId="12" borderId="333" xfId="3" quotePrefix="1" applyNumberFormat="1" applyFont="1" applyFill="1" applyBorder="1" applyAlignment="1" applyProtection="1">
      <alignment horizontal="left" vertical="center" wrapText="1"/>
      <protection locked="0"/>
    </xf>
    <xf numFmtId="0" fontId="15" fillId="12" borderId="334" xfId="3" quotePrefix="1" applyNumberFormat="1" applyFont="1" applyFill="1" applyBorder="1" applyAlignment="1" applyProtection="1">
      <alignment horizontal="left" vertical="center" wrapText="1"/>
      <protection locked="0"/>
    </xf>
    <xf numFmtId="0" fontId="57" fillId="3" borderId="0" xfId="3" applyNumberFormat="1" applyFont="1" applyFill="1" applyBorder="1" applyAlignment="1" applyProtection="1">
      <alignment horizontal="right" vertical="center"/>
    </xf>
    <xf numFmtId="0" fontId="21" fillId="2" borderId="0" xfId="3" applyNumberFormat="1" applyFont="1" applyFill="1" applyBorder="1" applyAlignment="1" applyProtection="1">
      <alignment horizontal="center"/>
    </xf>
    <xf numFmtId="0" fontId="157" fillId="0" borderId="0" xfId="3" applyNumberFormat="1" applyFont="1" applyBorder="1" applyAlignment="1" applyProtection="1">
      <alignment horizontal="center"/>
    </xf>
    <xf numFmtId="0" fontId="57" fillId="0" borderId="0" xfId="3" applyNumberFormat="1" applyFont="1" applyBorder="1" applyAlignment="1" applyProtection="1">
      <alignment horizontal="right" vertical="center"/>
    </xf>
    <xf numFmtId="0" fontId="86" fillId="0" borderId="0" xfId="0" applyFont="1" applyBorder="1" applyAlignment="1" applyProtection="1">
      <alignment horizontal="left"/>
    </xf>
    <xf numFmtId="0" fontId="59" fillId="0" borderId="0" xfId="0" applyFont="1" applyAlignment="1" applyProtection="1">
      <alignment horizontal="right"/>
    </xf>
    <xf numFmtId="0" fontId="21" fillId="0" borderId="0" xfId="0" applyFont="1" applyAlignment="1" applyProtection="1">
      <alignment horizontal="center"/>
    </xf>
  </cellXfs>
  <cellStyles count="483">
    <cellStyle name="Comma" xfId="22" builtinId="3"/>
    <cellStyle name="Comma 2" xfId="11"/>
    <cellStyle name="Comma 3" xfId="23"/>
    <cellStyle name="Comma 4" xfId="29"/>
    <cellStyle name="Comma 5" xfId="479"/>
    <cellStyle name="Currency" xfId="1" builtinId="4"/>
    <cellStyle name="Currency 2" xfId="5"/>
    <cellStyle name="Currency 2 2" xfId="13"/>
    <cellStyle name="Currency 3" xfId="30"/>
    <cellStyle name="Currency 4" xfId="477"/>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46"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48"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47"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64"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74"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84"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94"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59"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61"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160"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177"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187"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197"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07"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33" builtinId="9" hidden="1"/>
    <cellStyle name="Followed Hyperlink" xfId="35" builtinId="9" hidden="1"/>
    <cellStyle name="Followed Hyperlink" xfId="259" builtinId="9" hidden="1"/>
    <cellStyle name="Followed Hyperlink" xfId="148" builtinId="9" hidden="1"/>
    <cellStyle name="Followed Hyperlink" xfId="34"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65"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67"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266"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283"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293"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03"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13"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75"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377"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376"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393"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03"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13"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23"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Hyperlink" xfId="19" builtinId="8"/>
    <cellStyle name="Hyperlink 2" xfId="6"/>
    <cellStyle name="Normal" xfId="0" builtinId="0"/>
    <cellStyle name="Normal 10" xfId="480"/>
    <cellStyle name="Normal 11 4" xfId="481"/>
    <cellStyle name="Normal 2" xfId="3"/>
    <cellStyle name="Normal 2 10" xfId="482"/>
    <cellStyle name="Normal 2 2" xfId="4"/>
    <cellStyle name="Normal 2 3" xfId="8"/>
    <cellStyle name="Normal 3" xfId="9"/>
    <cellStyle name="Normal 3 2" xfId="12"/>
    <cellStyle name="Normal 3 3" xfId="20"/>
    <cellStyle name="Normal 3 3 2" xfId="26"/>
    <cellStyle name="Normal 3 4" xfId="24"/>
    <cellStyle name="Normal 4" xfId="14"/>
    <cellStyle name="Normal 5" xfId="15"/>
    <cellStyle name="Normal 6" xfId="16"/>
    <cellStyle name="Normal 7" xfId="28"/>
    <cellStyle name="Normal 7 2" xfId="147"/>
    <cellStyle name="Normal 8" xfId="31"/>
    <cellStyle name="Normal 8 2" xfId="146"/>
    <cellStyle name="Normal 8 3" xfId="475"/>
    <cellStyle name="Normal 9" xfId="476"/>
    <cellStyle name="Normal_rental new database" xfId="17"/>
    <cellStyle name="Normal_Sample Project 1" xfId="18"/>
    <cellStyle name="Percent" xfId="2" builtinId="5"/>
    <cellStyle name="Percent 2" xfId="7"/>
    <cellStyle name="Percent 3" xfId="10"/>
    <cellStyle name="Percent 3 2" xfId="21"/>
    <cellStyle name="Percent 3 2 2" xfId="27"/>
    <cellStyle name="Percent 3 3" xfId="25"/>
    <cellStyle name="Percent 4" xfId="32"/>
    <cellStyle name="Percent 5" xfId="478"/>
  </cellStyles>
  <dxfs count="388">
    <dxf>
      <font>
        <strike/>
        <color theme="0" tint="-0.34998626667073579"/>
      </font>
      <fill>
        <gradientFill degree="90">
          <stop position="0">
            <color theme="0" tint="-0.1490218817712943"/>
          </stop>
          <stop position="1">
            <color theme="0" tint="-0.1490218817712943"/>
          </stop>
        </gradientFill>
      </fill>
    </dxf>
    <dxf>
      <font>
        <strike/>
        <color theme="0" tint="-0.34998626667073579"/>
      </font>
      <fill>
        <patternFill>
          <bgColor theme="0" tint="-0.14996795556505021"/>
        </patternFill>
      </fill>
    </dxf>
    <dxf>
      <font>
        <strike/>
        <color theme="0" tint="-0.34998626667073579"/>
      </font>
      <fill>
        <patternFill>
          <bgColor theme="0" tint="-0.14996795556505021"/>
        </patternFill>
      </fill>
    </dxf>
    <dxf>
      <font>
        <strike/>
        <color theme="0" tint="-0.34998626667073579"/>
      </font>
      <fill>
        <gradientFill degree="90">
          <stop position="0">
            <color theme="0" tint="-0.1490218817712943"/>
          </stop>
          <stop position="1">
            <color theme="0" tint="-0.1490218817712943"/>
          </stop>
        </gradientFill>
      </fill>
    </dxf>
    <dxf>
      <font>
        <color rgb="FFFF0000"/>
      </font>
    </dxf>
    <dxf>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rgb="FFFF0000"/>
      </font>
    </dxf>
    <dxf>
      <border>
        <left style="thin">
          <color auto="1"/>
        </left>
        <right style="thin">
          <color auto="1"/>
        </right>
        <top style="thin">
          <color auto="1"/>
        </top>
        <bottom style="thin">
          <color auto="1"/>
        </bottom>
        <vertical/>
        <horizontal/>
      </border>
    </dxf>
    <dxf>
      <font>
        <color rgb="FFFF0000"/>
      </font>
    </dxf>
    <dxf>
      <font>
        <color rgb="FFFF0000"/>
      </font>
    </dxf>
    <dxf>
      <font>
        <color rgb="FFFF0000"/>
      </font>
    </dxf>
    <dxf>
      <font>
        <color rgb="FFFF0000"/>
      </font>
    </dxf>
    <dxf>
      <font>
        <color rgb="FFFF0000"/>
      </font>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patternType="solid">
          <bgColor rgb="FFFF0000"/>
        </patternFill>
      </fill>
    </dxf>
    <dxf>
      <font>
        <color theme="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strike/>
        <color theme="0" tint="-0.34998626667073579"/>
      </font>
      <fill>
        <gradientFill degree="90">
          <stop position="0">
            <color theme="0" tint="-0.1490218817712943"/>
          </stop>
          <stop position="1">
            <color theme="0" tint="-0.1490218817712943"/>
          </stop>
        </gradientFill>
      </fill>
    </dxf>
    <dxf>
      <font>
        <strike/>
        <color theme="0" tint="-0.34998626667073579"/>
      </font>
      <fill>
        <gradientFill degree="90">
          <stop position="0">
            <color theme="0" tint="-0.1490218817712943"/>
          </stop>
          <stop position="1">
            <color theme="0" tint="-0.1490218817712943"/>
          </stop>
        </gradientFill>
      </fill>
    </dxf>
    <dxf>
      <font>
        <strike/>
        <color theme="0" tint="-0.34998626667073579"/>
      </font>
      <fill>
        <patternFill>
          <bgColor theme="0" tint="-0.14996795556505021"/>
        </patternFill>
      </fill>
    </dxf>
    <dxf>
      <font>
        <strike/>
        <color theme="0" tint="-0.34998626667073579"/>
      </font>
      <fill>
        <patternFill>
          <bgColor theme="0" tint="-0.14996795556505021"/>
        </patternFill>
      </fill>
    </dxf>
    <dxf>
      <border>
        <left style="thin">
          <color theme="0" tint="-0.34998626667073579"/>
        </left>
        <right style="thin">
          <color theme="0" tint="-0.34998626667073579"/>
        </right>
        <top style="thin">
          <color theme="0" tint="-0.34998626667073579"/>
        </top>
        <bottom style="thin">
          <color theme="0" tint="-0.34998626667073579"/>
        </bottom>
        <vertical/>
        <horizontal/>
      </border>
    </dxf>
    <dxf>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rgb="FFFF0000"/>
      </font>
    </dxf>
    <dxf>
      <font>
        <color rgb="FFFF0000"/>
      </font>
    </dxf>
    <dxf>
      <font>
        <color rgb="FFFF0000"/>
      </font>
    </dxf>
    <dxf>
      <border>
        <right style="thin">
          <color theme="0" tint="-0.34998626667073579"/>
        </right>
        <top style="thin">
          <color theme="0" tint="-0.34998626667073579"/>
        </top>
        <bottom style="thin">
          <color theme="0" tint="-0.34998626667073579"/>
        </bottom>
        <vertical/>
        <horizontal/>
      </border>
    </dxf>
    <dxf>
      <border>
        <top style="thin">
          <color theme="0" tint="-0.34998626667073579"/>
        </top>
        <bottom style="thin">
          <color theme="0" tint="-0.34998626667073579"/>
        </bottom>
        <vertical/>
        <horizontal/>
      </border>
    </dxf>
    <dxf>
      <font>
        <color theme="0"/>
      </font>
      <border>
        <left/>
        <right/>
        <top/>
        <bottom/>
        <vertical/>
        <horizontal/>
      </border>
    </dxf>
    <dxf>
      <border>
        <bottom style="thin">
          <color theme="0" tint="-0.34998626667073579"/>
        </bottom>
        <vertical/>
        <horizontal/>
      </border>
    </dxf>
    <dxf>
      <font>
        <color rgb="FFFF0000"/>
      </font>
    </dxf>
    <dxf>
      <font>
        <color rgb="FFE0E0E0"/>
      </font>
    </dxf>
    <dxf>
      <font>
        <color rgb="FFE0E0E0"/>
      </font>
    </dxf>
    <dxf>
      <font>
        <color theme="0"/>
      </font>
      <fill>
        <patternFill patternType="none">
          <bgColor auto="1"/>
        </patternFill>
      </fill>
      <border>
        <left/>
        <right/>
        <top/>
        <bottom/>
        <vertical/>
        <horizontal/>
      </border>
    </dxf>
    <dxf>
      <border>
        <bottom style="thin">
          <color theme="0" tint="-0.34998626667073579"/>
        </bottom>
        <vertical/>
        <horizontal/>
      </border>
    </dxf>
    <dxf>
      <font>
        <color rgb="FFFF0000"/>
      </font>
    </dxf>
    <dxf>
      <font>
        <color rgb="FFFF0000"/>
      </font>
      <fill>
        <patternFill>
          <bgColor theme="0"/>
        </patternFill>
      </fill>
    </dxf>
    <dxf>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theme="0"/>
      </font>
      <numFmt numFmtId="166" formatCode="&quot;$&quot;#,##0.00"/>
    </dxf>
    <dxf>
      <font>
        <color theme="0"/>
      </font>
      <fill>
        <patternFill>
          <bgColor rgb="FF00A7E2"/>
        </patternFill>
      </fill>
    </dxf>
    <dxf>
      <font>
        <strike/>
        <color theme="0" tint="-0.34998626667073579"/>
      </font>
      <fill>
        <gradientFill degree="90">
          <stop position="0">
            <color theme="0" tint="-0.1490218817712943"/>
          </stop>
          <stop position="1">
            <color theme="0" tint="-0.1490218817712943"/>
          </stop>
        </gradientFill>
      </fill>
    </dxf>
    <dxf>
      <font>
        <strike/>
        <color theme="0" tint="-0.34998626667073579"/>
      </font>
      <fill>
        <patternFill>
          <bgColor theme="0" tint="-0.14996795556505021"/>
        </patternFill>
      </fill>
    </dxf>
    <dxf>
      <font>
        <strike/>
        <color theme="0" tint="-0.34998626667073579"/>
      </font>
      <fill>
        <patternFill>
          <bgColor theme="0" tint="-0.14996795556505021"/>
        </patternFill>
      </fill>
    </dxf>
    <dxf>
      <font>
        <strike/>
        <color theme="0" tint="-0.34998626667073579"/>
      </font>
      <fill>
        <patternFill>
          <bgColor theme="0" tint="-0.14996795556505021"/>
        </patternFill>
      </fill>
    </dxf>
    <dxf>
      <font>
        <strike/>
        <color theme="0" tint="-0.34998626667073579"/>
      </font>
      <fill>
        <patternFill>
          <bgColor theme="0" tint="-0.14996795556505021"/>
        </patternFill>
      </fill>
    </dxf>
    <dxf>
      <font>
        <strike/>
        <color theme="0" tint="-0.34998626667073579"/>
      </font>
      <fill>
        <patternFill>
          <bgColor theme="0" tint="-0.14996795556505021"/>
        </patternFill>
      </fill>
    </dxf>
    <dxf>
      <font>
        <strike/>
        <color theme="0" tint="-0.34998626667073579"/>
      </font>
      <fill>
        <patternFill>
          <bgColor theme="0" tint="-0.14996795556505021"/>
        </patternFill>
      </fill>
    </dxf>
    <dxf>
      <font>
        <color theme="0"/>
      </font>
    </dxf>
    <dxf>
      <font>
        <strike/>
        <color theme="0" tint="-0.34998626667073579"/>
      </font>
      <fill>
        <patternFill>
          <bgColor theme="0" tint="-0.14996795556505021"/>
        </patternFill>
      </fill>
    </dxf>
    <dxf>
      <font>
        <strike/>
        <color theme="0" tint="-0.34998626667073579"/>
      </font>
      <fill>
        <patternFill>
          <bgColor theme="0" tint="-0.14996795556505021"/>
        </patternFill>
      </fill>
    </dxf>
    <dxf>
      <font>
        <strike/>
        <color theme="0" tint="-0.34998626667073579"/>
      </font>
      <fill>
        <patternFill>
          <bgColor theme="0" tint="-0.14996795556505021"/>
        </patternFill>
      </fill>
    </dxf>
    <dxf>
      <font>
        <strike/>
        <color theme="0" tint="-0.34998626667073579"/>
      </font>
      <fill>
        <gradientFill degree="90">
          <stop position="0">
            <color theme="0" tint="-0.1490218817712943"/>
          </stop>
          <stop position="1">
            <color theme="0" tint="-0.1490218817712943"/>
          </stop>
        </gradientFill>
      </fill>
    </dxf>
    <dxf>
      <font>
        <color theme="0"/>
      </font>
    </dxf>
    <dxf>
      <font>
        <color theme="0"/>
      </font>
    </dxf>
    <dxf>
      <font>
        <color rgb="FFFF0000"/>
      </font>
    </dxf>
    <dxf>
      <font>
        <color rgb="FFFF0000"/>
      </font>
    </dxf>
    <dxf>
      <font>
        <strike/>
        <color theme="0" tint="-0.34998626667073579"/>
      </font>
      <fill>
        <gradientFill degree="90">
          <stop position="0">
            <color theme="0" tint="-0.1490218817712943"/>
          </stop>
          <stop position="1">
            <color theme="0" tint="-0.1490218817712943"/>
          </stop>
        </gradientFill>
      </fill>
    </dxf>
    <dxf>
      <font>
        <strike/>
        <color theme="0" tint="-0.34998626667073579"/>
      </font>
      <fill>
        <patternFill>
          <bgColor theme="0" tint="-0.14996795556505021"/>
        </patternFill>
      </fill>
    </dxf>
    <dxf>
      <font>
        <strike/>
        <color theme="0" tint="-0.34998626667073579"/>
      </font>
      <fill>
        <patternFill>
          <bgColor theme="0" tint="-0.14996795556505021"/>
        </patternFill>
      </fill>
    </dxf>
    <dxf>
      <font>
        <strike/>
        <color theme="0" tint="-0.34998626667073579"/>
      </font>
      <fill>
        <patternFill>
          <bgColor theme="0" tint="-0.14996795556505021"/>
        </patternFill>
      </fill>
    </dxf>
    <dxf>
      <font>
        <strike/>
        <color theme="0" tint="-0.34998626667073579"/>
      </font>
      <fill>
        <patternFill>
          <bgColor theme="0" tint="-0.14996795556505021"/>
        </patternFill>
      </fill>
    </dxf>
    <dxf>
      <font>
        <strike/>
        <color theme="0" tint="-0.34998626667073579"/>
      </font>
      <fill>
        <patternFill>
          <bgColor theme="0" tint="-0.14996795556505021"/>
        </patternFill>
      </fill>
    </dxf>
    <dxf>
      <font>
        <strike/>
        <color theme="0" tint="-0.34998626667073579"/>
      </font>
      <fill>
        <patternFill>
          <bgColor theme="0" tint="-0.14996795556505021"/>
        </patternFill>
      </fill>
    </dxf>
    <dxf>
      <font>
        <strike/>
        <color theme="0" tint="-0.34998626667073579"/>
      </font>
      <fill>
        <patternFill>
          <bgColor theme="0" tint="-0.14996795556505021"/>
        </patternFill>
      </fill>
    </dxf>
    <dxf>
      <font>
        <strike/>
        <color theme="0" tint="-0.34998626667073579"/>
      </font>
      <fill>
        <patternFill>
          <bgColor theme="0" tint="-0.14996795556505021"/>
        </patternFill>
      </fill>
    </dxf>
    <dxf>
      <font>
        <strike/>
        <color theme="0" tint="-0.34998626667073579"/>
      </font>
      <fill>
        <gradientFill degree="90">
          <stop position="0">
            <color theme="0" tint="-0.1490218817712943"/>
          </stop>
          <stop position="1">
            <color theme="0" tint="-0.1490218817712943"/>
          </stop>
        </gradientFill>
      </fill>
    </dxf>
    <dxf>
      <font>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strike/>
        <color theme="0" tint="-0.34998626667073579"/>
      </font>
      <fill>
        <gradientFill degree="90">
          <stop position="0">
            <color theme="0" tint="-0.1490218817712943"/>
          </stop>
          <stop position="1">
            <color theme="0" tint="-0.1490218817712943"/>
          </stop>
        </gradientFill>
      </fill>
    </dxf>
    <dxf>
      <font>
        <strike/>
        <color theme="0" tint="-0.34998626667073579"/>
      </font>
      <fill>
        <gradientFill degree="90">
          <stop position="0">
            <color theme="0" tint="-0.1490218817712943"/>
          </stop>
          <stop position="1">
            <color theme="0" tint="-0.1490218817712943"/>
          </stop>
        </gradientFill>
      </fill>
    </dxf>
    <dxf>
      <font>
        <strike/>
        <color theme="0" tint="-0.34998626667073579"/>
      </font>
      <fill>
        <patternFill>
          <bgColor theme="0" tint="-0.14996795556505021"/>
        </patternFill>
      </fill>
    </dxf>
    <dxf>
      <font>
        <strike/>
        <color theme="0" tint="-0.34998626667073579"/>
      </font>
      <fill>
        <patternFill>
          <bgColor theme="0" tint="-0.14996795556505021"/>
        </patternFill>
      </fill>
    </dxf>
    <dxf>
      <font>
        <color rgb="FFFF0000"/>
      </font>
    </dxf>
    <dxf>
      <fill>
        <patternFill>
          <bgColor theme="0"/>
        </patternFill>
      </fill>
      <border>
        <left style="thin">
          <color theme="1" tint="0.24994659260841701"/>
        </left>
        <right style="thin">
          <color theme="1" tint="0.24994659260841701"/>
        </right>
        <top style="thin">
          <color theme="1" tint="0.24994659260841701"/>
        </top>
        <bottom style="thin">
          <color theme="1" tint="0.24994659260841701"/>
        </bottom>
        <vertical/>
        <horizontal/>
      </border>
    </dxf>
    <dxf>
      <font>
        <color rgb="FFFF0000"/>
      </font>
    </dxf>
    <dxf>
      <fill>
        <patternFill>
          <bgColor theme="5" tint="0.59996337778862885"/>
        </patternFill>
      </fill>
      <border>
        <left style="thin">
          <color rgb="FFFF0000"/>
        </left>
        <right style="thin">
          <color rgb="FFFF0000"/>
        </right>
        <top style="thin">
          <color rgb="FFFF0000"/>
        </top>
        <bottom style="thin">
          <color rgb="FFFF0000"/>
        </bottom>
        <vertical/>
        <horizontal/>
      </border>
    </dxf>
    <dxf>
      <fill>
        <patternFill>
          <bgColor theme="5" tint="0.59996337778862885"/>
        </patternFill>
      </fill>
      <border>
        <left style="thin">
          <color rgb="FFFF0000"/>
        </left>
        <right style="thin">
          <color rgb="FFFF0000"/>
        </right>
        <top style="thin">
          <color rgb="FFFF0000"/>
        </top>
        <bottom style="thin">
          <color rgb="FFFF0000"/>
        </bottom>
        <vertical/>
        <horizontal/>
      </border>
    </dxf>
    <dxf>
      <fill>
        <patternFill>
          <bgColor theme="5" tint="0.59996337778862885"/>
        </patternFill>
      </fill>
      <border>
        <left style="thin">
          <color rgb="FFFF0000"/>
        </left>
        <right style="thin">
          <color rgb="FFFF0000"/>
        </right>
        <top style="thin">
          <color rgb="FFFF0000"/>
        </top>
        <bottom style="thin">
          <color rgb="FFFF0000"/>
        </bottom>
        <vertical/>
        <horizontal/>
      </border>
    </dxf>
    <dxf>
      <fill>
        <patternFill>
          <bgColor theme="0"/>
        </patternFill>
      </fill>
      <border>
        <left style="thin">
          <color auto="1"/>
        </left>
        <right style="thin">
          <color auto="1"/>
        </right>
        <top style="thin">
          <color auto="1"/>
        </top>
        <bottom style="thin">
          <color auto="1"/>
        </bottom>
        <vertical/>
        <horizontal/>
      </border>
    </dxf>
    <dxf>
      <fill>
        <patternFill>
          <bgColor theme="0"/>
        </patternFill>
      </fill>
      <border>
        <left style="thin">
          <color theme="1" tint="0.24994659260841701"/>
        </left>
        <right style="thin">
          <color theme="1" tint="0.24994659260841701"/>
        </right>
        <top style="thin">
          <color theme="1" tint="0.24994659260841701"/>
        </top>
        <bottom style="thin">
          <color theme="1" tint="0.24994659260841701"/>
        </bottom>
        <vertical/>
        <horizontal/>
      </border>
    </dxf>
    <dxf>
      <font>
        <strike/>
        <color theme="0" tint="-0.34998626667073579"/>
      </font>
      <fill>
        <gradientFill degree="90">
          <stop position="0">
            <color theme="0" tint="-0.1490218817712943"/>
          </stop>
          <stop position="1">
            <color theme="0" tint="-0.1490218817712943"/>
          </stop>
        </gradientFill>
      </fill>
    </dxf>
    <dxf>
      <font>
        <strike/>
        <color theme="0" tint="-0.34998626667073579"/>
      </font>
      <fill>
        <patternFill>
          <bgColor theme="0" tint="-0.14996795556505021"/>
        </patternFill>
      </fill>
    </dxf>
    <dxf>
      <font>
        <strike/>
        <color theme="0" tint="-0.34998626667073579"/>
      </font>
      <fill>
        <patternFill>
          <bgColor theme="0" tint="-0.14996795556505021"/>
        </patternFill>
      </fill>
    </dxf>
    <dxf>
      <font>
        <strike/>
        <color theme="0" tint="-0.34998626667073579"/>
      </font>
      <fill>
        <gradientFill degree="90">
          <stop position="0">
            <color theme="0" tint="-0.1490218817712943"/>
          </stop>
          <stop position="1">
            <color theme="0" tint="-0.1490218817712943"/>
          </stop>
        </gradientFill>
      </fill>
    </dxf>
    <dxf>
      <font>
        <color theme="0"/>
      </font>
      <fill>
        <patternFill>
          <bgColor theme="0"/>
        </patternFill>
      </fill>
      <border>
        <left/>
        <right/>
        <top/>
        <bottom/>
        <vertical/>
        <horizontal/>
      </border>
    </dxf>
    <dxf>
      <fill>
        <patternFill patternType="lightUp">
          <fgColor theme="0" tint="-0.24994659260841701"/>
        </patternFill>
      </fill>
    </dxf>
    <dxf>
      <font>
        <color theme="0"/>
      </font>
      <border>
        <left/>
        <right/>
        <bottom/>
        <vertical/>
        <horizontal/>
      </border>
    </dxf>
    <dxf>
      <font>
        <color rgb="FFFF0000"/>
      </font>
    </dxf>
    <dxf>
      <font>
        <color rgb="FFFF0000"/>
      </font>
    </dxf>
    <dxf>
      <fill>
        <patternFill patternType="lightUp">
          <fgColor theme="0" tint="-0.24994659260841701"/>
        </patternFill>
      </fill>
    </dxf>
    <dxf>
      <font>
        <color theme="0"/>
      </font>
      <fill>
        <patternFill>
          <bgColor theme="0"/>
        </patternFill>
      </fill>
      <border>
        <left/>
        <right/>
        <top/>
        <bottom/>
        <vertical/>
        <horizontal/>
      </border>
    </dxf>
    <dxf>
      <fill>
        <patternFill patternType="lightUp">
          <fgColor theme="0" tint="-0.24994659260841701"/>
        </patternFill>
      </fill>
    </dxf>
    <dxf>
      <font>
        <color theme="0"/>
      </font>
      <fill>
        <patternFill>
          <bgColor theme="0"/>
        </patternFill>
      </fill>
      <border>
        <left/>
        <right/>
        <top/>
        <bottom/>
        <vertical/>
        <horizontal/>
      </border>
    </dxf>
    <dxf>
      <fill>
        <patternFill patternType="lightUp">
          <fgColor theme="0" tint="-0.24994659260841701"/>
        </patternFill>
      </fill>
    </dxf>
    <dxf>
      <font>
        <color theme="0"/>
      </font>
      <fill>
        <patternFill>
          <bgColor theme="0"/>
        </patternFill>
      </fill>
      <border>
        <left/>
        <right/>
        <top/>
        <bottom/>
        <vertical/>
        <horizontal/>
      </border>
    </dxf>
    <dxf>
      <border>
        <left style="thin">
          <color theme="0" tint="-0.499984740745262"/>
        </left>
        <right style="thin">
          <color theme="0" tint="-0.499984740745262"/>
        </right>
        <top style="thin">
          <color theme="0" tint="-0.499984740745262"/>
        </top>
        <bottom style="thin">
          <color theme="0" tint="-0.499984740745262"/>
        </bottom>
        <vertical/>
        <horizontal/>
      </border>
    </dxf>
    <dxf>
      <border>
        <left style="thin">
          <color theme="0" tint="-0.499984740745262"/>
        </left>
        <right style="thin">
          <color theme="0" tint="-0.499984740745262"/>
        </right>
        <top style="thin">
          <color theme="0" tint="-0.499984740745262"/>
        </top>
        <bottom style="thin">
          <color theme="0" tint="-0.499984740745262"/>
        </bottom>
        <vertical/>
        <horizontal/>
      </border>
    </dxf>
    <dxf>
      <border>
        <left style="thin">
          <color theme="0" tint="-0.499984740745262"/>
        </left>
        <right style="thin">
          <color theme="0" tint="-0.499984740745262"/>
        </right>
        <top style="thin">
          <color theme="0" tint="-0.499984740745262"/>
        </top>
        <bottom style="thin">
          <color theme="0" tint="-0.499984740745262"/>
        </bottom>
        <vertical/>
        <horizontal/>
      </border>
    </dxf>
    <dxf>
      <font>
        <color rgb="FFFF0000"/>
      </font>
    </dxf>
    <dxf>
      <font>
        <color theme="0"/>
      </font>
      <fill>
        <patternFill>
          <bgColor theme="0"/>
        </patternFill>
      </fill>
      <border>
        <left/>
        <right/>
        <top/>
        <bottom/>
        <vertical/>
        <horizontal/>
      </border>
    </dxf>
    <dxf>
      <font>
        <color rgb="FFFF0000"/>
      </font>
    </dxf>
    <dxf>
      <font>
        <color rgb="FFFF0000"/>
      </font>
    </dxf>
    <dxf>
      <font>
        <color rgb="FFFF0000"/>
      </font>
    </dxf>
    <dxf>
      <font>
        <color rgb="FFFF0000"/>
      </font>
    </dxf>
    <dxf>
      <font>
        <color rgb="FFFF0000"/>
      </font>
    </dxf>
    <dxf>
      <font>
        <color rgb="FFFF0000"/>
      </font>
      <fill>
        <patternFill>
          <bgColor theme="0"/>
        </patternFill>
      </fill>
    </dxf>
    <dxf>
      <font>
        <color rgb="FFFF0000"/>
      </font>
      <fill>
        <patternFill>
          <bgColor theme="0"/>
        </patternFill>
      </fill>
    </dxf>
    <dxf>
      <font>
        <color rgb="FFFF0000"/>
      </font>
      <fill>
        <patternFill>
          <bgColor theme="0"/>
        </patternFill>
      </fill>
    </dxf>
    <dxf>
      <font>
        <color rgb="FFFF0000"/>
      </font>
      <fill>
        <patternFill>
          <bgColor theme="0"/>
        </patternFill>
      </fill>
    </dxf>
    <dxf>
      <border>
        <left/>
        <right/>
        <top/>
        <bottom/>
        <vertical/>
        <horizontal/>
      </border>
    </dxf>
    <dxf>
      <fill>
        <patternFill patternType="lightUp">
          <fgColor theme="0" tint="-0.24994659260841701"/>
        </patternFill>
      </fill>
    </dxf>
    <dxf>
      <font>
        <color theme="0"/>
      </font>
      <fill>
        <patternFill>
          <bgColor theme="0"/>
        </patternFill>
      </fill>
      <border>
        <left/>
        <right/>
        <top/>
        <bottom/>
        <vertical/>
        <horizontal/>
      </border>
    </dxf>
    <dxf>
      <fill>
        <patternFill patternType="lightUp">
          <fgColor theme="0" tint="-0.24994659260841701"/>
        </patternFill>
      </fill>
    </dxf>
    <dxf>
      <font>
        <color theme="0"/>
      </font>
      <fill>
        <patternFill>
          <bgColor theme="0"/>
        </patternFill>
      </fill>
      <border>
        <left/>
        <right/>
        <top/>
        <bottom/>
        <vertical/>
        <horizontal/>
      </border>
    </dxf>
    <dxf>
      <border>
        <left/>
        <right/>
        <top/>
        <bottom/>
        <vertical/>
        <horizontal/>
      </border>
    </dxf>
    <dxf>
      <font>
        <color theme="0"/>
      </font>
      <fill>
        <patternFill patternType="lightUp">
          <fgColor theme="0" tint="-0.24994659260841701"/>
        </patternFill>
      </fill>
      <border>
        <left/>
        <right/>
        <top/>
        <bottom/>
      </border>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1" tint="0.24994659260841701"/>
      </font>
    </dxf>
    <dxf>
      <font>
        <color theme="1" tint="0.24994659260841701"/>
      </font>
    </dxf>
    <dxf>
      <font>
        <b/>
        <i val="0"/>
        <color theme="1" tint="0.34998626667073579"/>
      </font>
    </dxf>
    <dxf>
      <font>
        <color rgb="FFFF0000"/>
      </font>
    </dxf>
    <dxf>
      <font>
        <color rgb="FFFF0000"/>
      </font>
    </dxf>
    <dxf>
      <font>
        <color rgb="FFFF0000"/>
      </font>
    </dxf>
    <dxf>
      <font>
        <color rgb="FFFF0000"/>
      </font>
    </dxf>
    <dxf>
      <font>
        <strike/>
        <color theme="0" tint="-0.34998626667073579"/>
      </font>
      <fill>
        <gradientFill degree="90">
          <stop position="0">
            <color theme="0" tint="-0.1490218817712943"/>
          </stop>
          <stop position="1">
            <color theme="0" tint="-0.1490218817712943"/>
          </stop>
        </gradientFill>
      </fill>
    </dxf>
    <dxf>
      <font>
        <strike/>
        <color theme="0" tint="-0.34998626667073579"/>
      </font>
      <fill>
        <patternFill>
          <bgColor theme="0" tint="-0.14996795556505021"/>
        </patternFill>
      </fill>
    </dxf>
    <dxf>
      <font>
        <strike/>
        <color theme="0" tint="-0.34998626667073579"/>
      </font>
      <fill>
        <patternFill>
          <bgColor theme="0" tint="-0.14996795556505021"/>
        </patternFill>
      </fill>
    </dxf>
    <dxf>
      <font>
        <strike/>
        <color theme="0" tint="-0.34998626667073579"/>
      </font>
      <fill>
        <patternFill>
          <bgColor theme="0" tint="-0.14996795556505021"/>
        </patternFill>
      </fill>
    </dxf>
    <dxf>
      <font>
        <strike/>
        <color theme="0" tint="-0.34998626667073579"/>
      </font>
      <fill>
        <patternFill>
          <bgColor theme="0" tint="-0.14996795556505021"/>
        </patternFill>
      </fill>
    </dxf>
    <dxf>
      <font>
        <strike/>
        <color theme="0" tint="-0.34998626667073579"/>
      </font>
      <fill>
        <patternFill>
          <bgColor theme="0" tint="-0.14996795556505021"/>
        </patternFill>
      </fill>
    </dxf>
    <dxf>
      <font>
        <strike/>
        <color theme="0" tint="-0.34998626667073579"/>
      </font>
      <fill>
        <patternFill>
          <bgColor theme="0" tint="-0.14996795556505021"/>
        </patternFill>
      </fill>
    </dxf>
    <dxf>
      <font>
        <strike/>
        <color theme="0" tint="-0.34998626667073579"/>
      </font>
      <fill>
        <patternFill>
          <bgColor theme="0" tint="-0.14996795556505021"/>
        </patternFill>
      </fill>
    </dxf>
    <dxf>
      <font>
        <strike/>
        <color theme="0" tint="-0.34998626667073579"/>
      </font>
      <fill>
        <patternFill>
          <bgColor theme="0" tint="-0.14996795556505021"/>
        </patternFill>
      </fill>
    </dxf>
    <dxf>
      <font>
        <strike/>
        <color theme="0" tint="-0.34998626667073579"/>
      </font>
      <fill>
        <gradientFill degree="90">
          <stop position="0">
            <color theme="0" tint="-0.1490218817712943"/>
          </stop>
          <stop position="1">
            <color theme="0" tint="-0.1490218817712943"/>
          </stop>
        </gradientFill>
      </fill>
    </dxf>
    <dxf>
      <font>
        <color rgb="FFFF0000"/>
      </font>
    </dxf>
    <dxf>
      <font>
        <color theme="0"/>
      </font>
      <numFmt numFmtId="166" formatCode="&quot;$&quot;#,##0.00"/>
    </dxf>
    <dxf>
      <font>
        <color theme="0"/>
      </font>
      <numFmt numFmtId="166" formatCode="&quot;$&quot;#,##0.00"/>
    </dxf>
    <dxf>
      <font>
        <color theme="0"/>
      </font>
      <numFmt numFmtId="166" formatCode="&quot;$&quot;#,##0.00"/>
    </dxf>
    <dxf>
      <font>
        <color theme="0"/>
      </font>
      <border>
        <left/>
        <right/>
        <bottom/>
        <vertical/>
        <horizontal/>
      </border>
    </dxf>
    <dxf>
      <font>
        <color rgb="FFFF0000"/>
      </font>
    </dxf>
    <dxf>
      <border>
        <bottom/>
        <vertical/>
        <horizontal/>
      </border>
    </dxf>
    <dxf>
      <font>
        <color rgb="FFFF0000"/>
      </font>
    </dxf>
    <dxf>
      <font>
        <color rgb="FFFF0000"/>
      </font>
    </dxf>
    <dxf>
      <font>
        <color theme="0"/>
      </font>
      <fill>
        <patternFill>
          <bgColor theme="0"/>
        </patternFill>
      </fill>
      <border>
        <left/>
        <right/>
        <top/>
        <bottom/>
        <vertical/>
        <horizontal/>
      </border>
    </dxf>
    <dxf>
      <font>
        <color theme="0"/>
      </font>
      <border>
        <left/>
        <right/>
        <bottom/>
        <vertical/>
        <horizontal/>
      </border>
    </dxf>
    <dxf>
      <font>
        <color rgb="FFFF0000"/>
      </font>
    </dxf>
    <dxf>
      <font>
        <color theme="0"/>
      </font>
      <numFmt numFmtId="166" formatCode="&quot;$&quot;#,##0.00"/>
    </dxf>
    <dxf>
      <font>
        <color theme="0"/>
      </font>
      <numFmt numFmtId="166" formatCode="&quot;$&quot;#,##0.00"/>
    </dxf>
    <dxf>
      <font>
        <strike/>
        <color theme="0" tint="-0.34998626667073579"/>
      </font>
      <fill>
        <gradientFill degree="90">
          <stop position="0">
            <color theme="0" tint="-0.1490218817712943"/>
          </stop>
          <stop position="1">
            <color theme="0" tint="-0.1490218817712943"/>
          </stop>
        </gradientFill>
      </fill>
    </dxf>
    <dxf>
      <font>
        <strike/>
        <color theme="0" tint="-0.34998626667073579"/>
      </font>
      <fill>
        <patternFill>
          <bgColor theme="0" tint="-0.14996795556505021"/>
        </patternFill>
      </fill>
    </dxf>
    <dxf>
      <font>
        <strike/>
        <color theme="0" tint="-0.34998626667073579"/>
      </font>
      <fill>
        <patternFill>
          <bgColor theme="0" tint="-0.14996795556505021"/>
        </patternFill>
      </fill>
    </dxf>
    <dxf>
      <font>
        <strike/>
        <color theme="0" tint="-0.34998626667073579"/>
      </font>
      <fill>
        <patternFill>
          <bgColor theme="0" tint="-0.14996795556505021"/>
        </patternFill>
      </fill>
    </dxf>
    <dxf>
      <font>
        <color rgb="FFFF0000"/>
      </font>
    </dxf>
    <dxf>
      <font>
        <color rgb="FFFF0000"/>
      </font>
    </dxf>
    <dxf>
      <font>
        <b val="0"/>
        <i/>
        <color theme="0" tint="-0.24994659260841701"/>
      </font>
    </dxf>
    <dxf>
      <font>
        <color rgb="FFFF0000"/>
      </font>
    </dxf>
    <dxf>
      <font>
        <color rgb="FFE0E0E0"/>
      </font>
    </dxf>
    <dxf>
      <font>
        <color rgb="FFE0E0E0"/>
      </font>
    </dxf>
    <dxf>
      <font>
        <color rgb="FFE0E0E0"/>
      </font>
    </dxf>
    <dxf>
      <font>
        <color rgb="FFE0E0E0"/>
      </font>
    </dxf>
    <dxf>
      <font>
        <color rgb="FFE0E0E0"/>
      </font>
    </dxf>
    <dxf>
      <font>
        <color rgb="FFFF0000"/>
      </font>
    </dxf>
    <dxf>
      <font>
        <strike/>
        <color theme="0" tint="-0.34998626667073579"/>
      </font>
      <fill>
        <gradientFill degree="90">
          <stop position="0">
            <color theme="0" tint="-0.1490218817712943"/>
          </stop>
          <stop position="1">
            <color theme="0" tint="-0.1490218817712943"/>
          </stop>
        </gradientFill>
      </fill>
    </dxf>
    <dxf>
      <font>
        <strike/>
        <color theme="0" tint="-0.34998626667073579"/>
      </font>
      <fill>
        <patternFill>
          <bgColor theme="0" tint="-0.14996795556505021"/>
        </patternFill>
      </fill>
    </dxf>
    <dxf>
      <font>
        <strike/>
        <color theme="0" tint="-0.34998626667073579"/>
      </font>
      <fill>
        <patternFill>
          <bgColor theme="0" tint="-0.14996795556505021"/>
        </patternFill>
      </fill>
    </dxf>
    <dxf>
      <font>
        <strike/>
        <color theme="0" tint="-0.34998626667073579"/>
      </font>
      <fill>
        <patternFill>
          <bgColor theme="0" tint="-0.14996795556505021"/>
        </patternFill>
      </fill>
    </dxf>
    <dxf>
      <font>
        <color rgb="FFFF0000"/>
      </font>
    </dxf>
    <dxf>
      <font>
        <color rgb="FFFF0000"/>
      </font>
    </dxf>
    <dxf>
      <font>
        <b val="0"/>
        <i/>
        <color theme="0" tint="-0.24994659260841701"/>
      </font>
    </dxf>
    <dxf>
      <font>
        <b val="0"/>
        <i/>
        <color theme="0" tint="-0.24994659260841701"/>
      </font>
    </dxf>
    <dxf>
      <font>
        <b val="0"/>
        <i/>
        <color theme="0" tint="-0.24994659260841701"/>
      </font>
    </dxf>
    <dxf>
      <font>
        <color rgb="FFFF0000"/>
      </font>
    </dxf>
    <dxf>
      <fill>
        <patternFill patternType="lightUp">
          <fgColor theme="0" tint="-0.24994659260841701"/>
        </patternFill>
      </fill>
    </dxf>
    <dxf>
      <font>
        <color rgb="FFFF0000"/>
      </font>
    </dxf>
    <dxf>
      <font>
        <color rgb="FFE0E0E0"/>
      </font>
    </dxf>
    <dxf>
      <font>
        <color rgb="FFE0E0E0"/>
      </font>
    </dxf>
    <dxf>
      <font>
        <color rgb="FFE0E0E0"/>
      </font>
    </dxf>
    <dxf>
      <font>
        <color rgb="FFE0E0E0"/>
      </font>
    </dxf>
    <dxf>
      <font>
        <color rgb="FFE0E0E0"/>
      </font>
    </dxf>
    <dxf>
      <font>
        <strike/>
        <color theme="0" tint="-0.34998626667073579"/>
      </font>
      <fill>
        <patternFill>
          <bgColor theme="0" tint="-0.14996795556505021"/>
        </patternFill>
      </fill>
    </dxf>
    <dxf>
      <font>
        <strike/>
        <color theme="0" tint="-0.34998626667073579"/>
      </font>
      <fill>
        <patternFill>
          <bgColor theme="0" tint="-0.14996795556505021"/>
        </patternFill>
      </fill>
    </dxf>
    <dxf>
      <font>
        <strike/>
        <color theme="0" tint="-0.34998626667073579"/>
      </font>
      <fill>
        <patternFill>
          <bgColor theme="0"/>
        </patternFill>
      </fill>
    </dxf>
    <dxf>
      <font>
        <strike/>
        <color theme="0" tint="-0.34998626667073579"/>
      </font>
      <fill>
        <gradientFill degree="90">
          <stop position="0">
            <color theme="0" tint="-0.1490218817712943"/>
          </stop>
          <stop position="1">
            <color theme="0" tint="-0.1490218817712943"/>
          </stop>
        </gradientFill>
      </fill>
    </dxf>
    <dxf>
      <font>
        <color rgb="FFFF0000"/>
      </font>
    </dxf>
    <dxf>
      <font>
        <color theme="0"/>
      </font>
      <numFmt numFmtId="166" formatCode="&quot;$&quot;#,##0.00"/>
    </dxf>
    <dxf>
      <font>
        <color theme="0"/>
      </font>
      <numFmt numFmtId="166" formatCode="&quot;$&quot;#,##0.00"/>
    </dxf>
    <dxf>
      <fill>
        <patternFill patternType="lightUp">
          <fgColor theme="0" tint="-0.24994659260841701"/>
          <bgColor theme="0"/>
        </patternFill>
      </fill>
    </dxf>
    <dxf>
      <fill>
        <patternFill patternType="lightUp">
          <fgColor theme="0" tint="-0.24994659260841701"/>
        </patternFill>
      </fill>
    </dxf>
    <dxf>
      <font>
        <color rgb="FFFF0000"/>
      </font>
    </dxf>
    <dxf>
      <border>
        <bottom/>
        <vertical/>
        <horizontal/>
      </border>
    </dxf>
    <dxf>
      <font>
        <color theme="0"/>
      </font>
      <border>
        <left/>
        <right/>
        <bottom/>
        <vertical/>
        <horizontal/>
      </border>
    </dxf>
    <dxf>
      <font>
        <color theme="0"/>
      </font>
      <fill>
        <patternFill>
          <bgColor theme="0"/>
        </patternFill>
      </fill>
      <border>
        <left/>
        <right/>
        <top/>
        <bottom/>
        <vertical/>
        <horizontal/>
      </border>
    </dxf>
    <dxf>
      <font>
        <color theme="0"/>
      </font>
      <numFmt numFmtId="166" formatCode="&quot;$&quot;#,##0.00"/>
    </dxf>
    <dxf>
      <font>
        <color rgb="FFFF0000"/>
      </font>
    </dxf>
    <dxf>
      <font>
        <color rgb="FFFF0000"/>
      </font>
    </dxf>
    <dxf>
      <font>
        <color rgb="FFFF0000"/>
      </font>
    </dxf>
    <dxf>
      <font>
        <color theme="0"/>
      </font>
      <numFmt numFmtId="166" formatCode="&quot;$&quot;#,##0.00"/>
    </dxf>
    <dxf>
      <font>
        <strike/>
        <color theme="0" tint="-0.34998626667073579"/>
      </font>
      <fill>
        <gradientFill degree="90">
          <stop position="0">
            <color theme="0" tint="-0.1490218817712943"/>
          </stop>
          <stop position="1">
            <color theme="0" tint="-0.1490218817712943"/>
          </stop>
        </gradientFill>
      </fill>
    </dxf>
    <dxf>
      <font>
        <strike/>
        <color theme="0" tint="-0.34998626667073579"/>
      </font>
      <fill>
        <patternFill>
          <bgColor theme="0" tint="-0.14996795556505021"/>
        </patternFill>
      </fill>
    </dxf>
    <dxf>
      <font>
        <strike/>
        <color theme="0" tint="-0.34998626667073579"/>
      </font>
      <fill>
        <patternFill>
          <bgColor theme="0" tint="-0.14996795556505021"/>
        </patternFill>
      </fill>
    </dxf>
    <dxf>
      <font>
        <strike/>
        <color theme="0" tint="-0.34998626667073579"/>
      </font>
      <fill>
        <patternFill>
          <bgColor theme="0" tint="-0.14996795556505021"/>
        </patternFill>
      </fill>
    </dxf>
    <dxf>
      <font>
        <strike/>
        <color theme="0" tint="-0.34998626667073579"/>
      </font>
      <fill>
        <patternFill>
          <bgColor theme="0" tint="-0.14996795556505021"/>
        </patternFill>
      </fill>
    </dxf>
    <dxf>
      <font>
        <strike/>
        <color theme="0" tint="-0.34998626667073579"/>
      </font>
      <fill>
        <patternFill>
          <bgColor theme="0" tint="-0.14996795556505021"/>
        </patternFill>
      </fill>
    </dxf>
    <dxf>
      <font>
        <strike/>
        <color theme="0" tint="-0.34998626667073579"/>
      </font>
      <fill>
        <patternFill>
          <bgColor theme="0" tint="-0.14996795556505021"/>
        </patternFill>
      </fill>
    </dxf>
    <dxf>
      <font>
        <strike/>
        <color theme="0" tint="-0.34998626667073579"/>
      </font>
      <fill>
        <patternFill>
          <bgColor theme="0" tint="-0.14996795556505021"/>
        </patternFill>
      </fill>
    </dxf>
    <dxf>
      <font>
        <strike/>
        <color theme="0" tint="-0.34998626667073579"/>
      </font>
      <fill>
        <patternFill>
          <bgColor theme="0" tint="-0.14996795556505021"/>
        </patternFill>
      </fill>
    </dxf>
    <dxf>
      <font>
        <strike/>
        <color theme="0" tint="-0.34998626667073579"/>
      </font>
      <fill>
        <gradientFill degree="90">
          <stop position="0">
            <color theme="0" tint="-0.1490218817712943"/>
          </stop>
          <stop position="1">
            <color theme="0" tint="-0.1490218817712943"/>
          </stop>
        </gradientFill>
      </fill>
    </dxf>
    <dxf>
      <font>
        <color theme="0"/>
      </font>
      <fill>
        <patternFill>
          <bgColor theme="0"/>
        </patternFill>
      </fill>
      <border>
        <left/>
        <right/>
        <top/>
        <bottom/>
        <vertical/>
        <horizontal/>
      </border>
    </dxf>
    <dxf>
      <font>
        <color theme="1" tint="0.24994659260841701"/>
      </font>
      <fill>
        <patternFill>
          <bgColor theme="6" tint="0.79998168889431442"/>
        </patternFill>
      </fill>
      <border>
        <left style="thin">
          <color rgb="FF00B050"/>
        </left>
        <right style="thin">
          <color rgb="FF00B050"/>
        </right>
        <top style="thin">
          <color rgb="FF00B050"/>
        </top>
        <bottom style="thin">
          <color rgb="FF00B050"/>
        </bottom>
        <vertical/>
        <horizontal/>
      </border>
    </dxf>
    <dxf>
      <font>
        <color theme="0"/>
      </font>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ont>
        <color theme="1" tint="0.24994659260841701"/>
      </font>
    </dxf>
    <dxf>
      <font>
        <color theme="1" tint="0.24994659260841701"/>
      </font>
    </dxf>
    <dxf>
      <font>
        <color theme="1" tint="0.24994659260841701"/>
      </font>
    </dxf>
    <dxf>
      <font>
        <color theme="1" tint="0.24994659260841701"/>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fill>
        <patternFill>
          <bgColor theme="0"/>
        </patternFill>
      </fill>
      <border>
        <left/>
        <right/>
        <top/>
        <bottom/>
        <vertical/>
        <horizontal/>
      </border>
    </dxf>
    <dxf>
      <font>
        <color rgb="FFFF0000"/>
      </font>
    </dxf>
    <dxf>
      <font>
        <b/>
        <i val="0"/>
        <color rgb="FFFF0000"/>
      </font>
    </dxf>
    <dxf>
      <font>
        <color rgb="FFFF0000"/>
      </font>
    </dxf>
    <dxf>
      <font>
        <color rgb="FFFF0000"/>
      </font>
    </dxf>
    <dxf>
      <font>
        <color rgb="FFFF0000"/>
      </font>
    </dxf>
    <dxf>
      <font>
        <color rgb="FFFF0000"/>
      </font>
    </dxf>
    <dxf>
      <font>
        <strike/>
        <color theme="0" tint="-0.34998626667073579"/>
      </font>
      <fill>
        <gradientFill degree="90">
          <stop position="0">
            <color theme="0" tint="-0.1490218817712943"/>
          </stop>
          <stop position="1">
            <color theme="0" tint="-0.1490218817712943"/>
          </stop>
        </gradientFill>
      </fill>
    </dxf>
    <dxf>
      <font>
        <strike/>
        <color theme="0" tint="-0.34998626667073579"/>
      </font>
      <fill>
        <patternFill>
          <bgColor theme="0" tint="-0.14996795556505021"/>
        </patternFill>
      </fill>
    </dxf>
    <dxf>
      <font>
        <strike/>
        <color theme="0" tint="-0.34998626667073579"/>
      </font>
      <fill>
        <patternFill>
          <bgColor theme="0" tint="-0.14996795556505021"/>
        </patternFill>
      </fill>
    </dxf>
    <dxf>
      <font>
        <strike/>
        <color theme="0" tint="-0.34998626667073579"/>
      </font>
      <fill>
        <gradientFill degree="90">
          <stop position="0">
            <color theme="0" tint="-0.1490218817712943"/>
          </stop>
          <stop position="1">
            <color theme="0" tint="-0.1490218817712943"/>
          </stop>
        </gradientFill>
      </fill>
    </dxf>
    <dxf>
      <fill>
        <patternFill>
          <bgColor theme="5" tint="0.79998168889431442"/>
        </patternFill>
      </fill>
      <border>
        <left style="thin">
          <color rgb="FFFF0000"/>
        </left>
        <right style="thin">
          <color rgb="FFFF0000"/>
        </right>
        <top style="thin">
          <color rgb="FFFF0000"/>
        </top>
        <bottom style="thin">
          <color rgb="FFFF0000"/>
        </bottom>
        <vertical/>
        <horizontal/>
      </border>
    </dxf>
    <dxf>
      <font>
        <color theme="0"/>
      </font>
      <fill>
        <patternFill>
          <bgColor theme="0"/>
        </patternFill>
      </fill>
      <border>
        <left/>
        <right/>
        <top/>
        <bottom/>
        <vertical/>
        <horizontal/>
      </border>
    </dxf>
    <dxf>
      <fill>
        <patternFill patternType="lightUp">
          <fgColor theme="0" tint="-0.24994659260841701"/>
          <bgColor theme="0"/>
        </patternFill>
      </fill>
    </dxf>
    <dxf>
      <font>
        <color rgb="FFFF0000"/>
      </font>
    </dxf>
    <dxf>
      <font>
        <color rgb="FFFF0000"/>
      </font>
    </dxf>
    <dxf>
      <fill>
        <patternFill patternType="solid">
          <fgColor theme="0" tint="-0.24994659260841701"/>
        </patternFill>
      </fill>
      <border>
        <bottom/>
      </border>
    </dxf>
    <dxf>
      <border>
        <left/>
        <right/>
        <bottom/>
        <vertical/>
        <horizontal/>
      </border>
    </dxf>
    <dxf>
      <fill>
        <patternFill>
          <bgColor theme="5" tint="0.79998168889431442"/>
        </patternFill>
      </fill>
      <border>
        <left style="dotted">
          <color rgb="FFFF0000"/>
        </left>
        <right style="dotted">
          <color rgb="FFFF0000"/>
        </right>
        <top style="dotted">
          <color rgb="FFFF0000"/>
        </top>
        <bottom style="dotted">
          <color rgb="FFFF0000"/>
        </bottom>
        <vertical/>
        <horizontal/>
      </border>
    </dxf>
    <dxf>
      <fill>
        <patternFill>
          <bgColor theme="5" tint="0.79998168889431442"/>
        </patternFill>
      </fill>
      <border>
        <left style="dotted">
          <color rgb="FFFF0000"/>
        </left>
        <right style="dotted">
          <color rgb="FFFF0000"/>
        </right>
        <top style="dotted">
          <color rgb="FFFF0000"/>
        </top>
        <bottom style="dotted">
          <color rgb="FFFF0000"/>
        </bottom>
        <vertical/>
        <horizontal/>
      </border>
    </dxf>
    <dxf>
      <fill>
        <patternFill>
          <bgColor theme="5" tint="0.79998168889431442"/>
        </patternFill>
      </fill>
      <border>
        <left style="dotted">
          <color rgb="FFFF0000"/>
        </left>
        <right style="dotted">
          <color rgb="FFFF0000"/>
        </right>
        <top style="dotted">
          <color rgb="FFFF0000"/>
        </top>
        <bottom style="dotted">
          <color rgb="FFFF0000"/>
        </bottom>
        <vertical/>
        <horizontal/>
      </border>
    </dxf>
    <dxf>
      <font>
        <color rgb="FFFF0000"/>
      </font>
    </dxf>
    <dxf>
      <font>
        <color rgb="FFFF0000"/>
      </font>
    </dxf>
    <dxf>
      <fill>
        <patternFill>
          <bgColor theme="5" tint="0.79998168889431442"/>
        </patternFill>
      </fill>
      <border>
        <left style="dotted">
          <color rgb="FFFF0000"/>
        </left>
        <right style="dotted">
          <color rgb="FFFF0000"/>
        </right>
        <top style="dotted">
          <color rgb="FFFF0000"/>
        </top>
        <bottom style="dotted">
          <color rgb="FFFF0000"/>
        </bottom>
        <vertical/>
        <horizontal/>
      </border>
    </dxf>
    <dxf>
      <fill>
        <patternFill>
          <bgColor theme="5" tint="0.79998168889431442"/>
        </patternFill>
      </fill>
      <border>
        <left style="dotted">
          <color rgb="FFFF0000"/>
        </left>
        <right style="dotted">
          <color rgb="FFFF0000"/>
        </right>
        <top style="dotted">
          <color rgb="FFFF0000"/>
        </top>
        <bottom style="dotted">
          <color rgb="FFFF0000"/>
        </bottom>
        <vertical/>
        <horizontal/>
      </border>
    </dxf>
    <dxf>
      <fill>
        <patternFill>
          <bgColor theme="5" tint="0.79998168889431442"/>
        </patternFill>
      </fill>
      <border>
        <left style="dotted">
          <color rgb="FFFF0000"/>
        </left>
        <right style="dotted">
          <color rgb="FFFF0000"/>
        </right>
        <top style="dotted">
          <color rgb="FFFF0000"/>
        </top>
        <bottom style="dotted">
          <color rgb="FFFF0000"/>
        </bottom>
        <vertical/>
        <horizontal/>
      </border>
    </dxf>
    <dxf>
      <font>
        <strike/>
        <color theme="0" tint="-0.34998626667073579"/>
      </font>
      <fill>
        <gradientFill degree="90">
          <stop position="0">
            <color theme="0" tint="-0.1490218817712943"/>
          </stop>
          <stop position="1">
            <color theme="0" tint="-0.1490218817712943"/>
          </stop>
        </gradientFill>
      </fill>
    </dxf>
    <dxf>
      <font>
        <strike/>
        <color theme="0" tint="-0.34998626667073579"/>
      </font>
      <fill>
        <patternFill>
          <bgColor theme="0" tint="-0.14996795556505021"/>
        </patternFill>
      </fill>
    </dxf>
    <dxf>
      <font>
        <strike/>
        <color theme="0" tint="-0.34998626667073579"/>
      </font>
      <fill>
        <patternFill>
          <bgColor theme="0" tint="-0.14996795556505021"/>
        </patternFill>
      </fill>
    </dxf>
    <dxf>
      <font>
        <strike/>
        <color theme="0" tint="-0.34998626667073579"/>
      </font>
      <fill>
        <patternFill>
          <bgColor theme="0" tint="-0.14996795556505021"/>
        </patternFill>
      </fill>
    </dxf>
    <dxf>
      <fill>
        <patternFill patternType="lightUp">
          <fgColor theme="0" tint="-0.24994659260841701"/>
        </patternFill>
      </fill>
      <border>
        <left style="thin">
          <color theme="0" tint="-0.34998626667073579"/>
        </left>
        <right/>
        <vertical/>
        <horizontal/>
      </border>
    </dxf>
    <dxf>
      <fill>
        <patternFill patternType="lightUp">
          <fgColor theme="0" tint="-0.24994659260841701"/>
        </patternFill>
      </fill>
      <border>
        <left style="thin">
          <color theme="0" tint="-0.34998626667073579"/>
        </left>
        <right/>
      </border>
    </dxf>
    <dxf>
      <fill>
        <patternFill patternType="lightUp">
          <fgColor theme="0" tint="-0.24994659260841701"/>
        </patternFill>
      </fill>
      <border>
        <left/>
        <right/>
        <vertical/>
        <horizontal/>
      </border>
    </dxf>
    <dxf>
      <fill>
        <patternFill patternType="lightUp">
          <fgColor theme="0" tint="-0.24994659260841701"/>
        </patternFill>
      </fill>
      <border>
        <left/>
        <right/>
        <vertical/>
        <horizontal/>
      </border>
    </dxf>
    <dxf>
      <fill>
        <patternFill patternType="lightUp">
          <fgColor theme="0" tint="-0.24994659260841701"/>
        </patternFill>
      </fill>
      <border>
        <left style="thin">
          <color theme="0" tint="-0.34998626667073579"/>
        </left>
        <right/>
        <vertical/>
        <horizontal/>
      </border>
    </dxf>
    <dxf>
      <fill>
        <patternFill patternType="lightUp">
          <fgColor theme="0" tint="-0.24994659260841701"/>
        </patternFill>
      </fill>
      <border>
        <left style="thin">
          <color theme="0" tint="-0.34998626667073579"/>
        </left>
        <right/>
      </border>
    </dxf>
    <dxf>
      <fill>
        <patternFill patternType="lightUp">
          <fgColor theme="0" tint="-0.24994659260841701"/>
        </patternFill>
      </fill>
      <border>
        <left/>
        <right/>
        <vertical/>
        <horizontal/>
      </border>
    </dxf>
    <dxf>
      <fill>
        <patternFill patternType="lightUp">
          <fgColor theme="0" tint="-0.24994659260841701"/>
        </patternFill>
      </fill>
      <border>
        <left/>
        <right/>
        <vertical/>
        <horizontal/>
      </border>
    </dxf>
    <dxf>
      <font>
        <color rgb="FFFF0000"/>
      </font>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border>
        <left style="thin">
          <color theme="0" tint="-0.34998626667073579"/>
        </left>
        <vertical/>
        <horizontal/>
      </border>
    </dxf>
    <dxf>
      <border>
        <left style="thin">
          <color theme="0" tint="-0.34998626667073579"/>
        </left>
        <vertical/>
        <horizontal/>
      </border>
    </dxf>
    <dxf>
      <fill>
        <patternFill patternType="lightUp">
          <fgColor theme="0" tint="-0.24994659260841701"/>
        </patternFill>
      </fill>
    </dxf>
    <dxf>
      <border>
        <left/>
        <right/>
        <vertical/>
        <horizontal/>
      </border>
    </dxf>
    <dxf>
      <fill>
        <patternFill patternType="lightUp">
          <fgColor theme="0" tint="-0.24994659260841701"/>
        </patternFill>
      </fill>
      <border>
        <left/>
        <right/>
        <vertical/>
        <horizontal/>
      </border>
    </dxf>
    <dxf>
      <fill>
        <patternFill patternType="lightUp">
          <fgColor theme="0" tint="-0.24994659260841701"/>
        </patternFill>
      </fill>
      <border>
        <left/>
        <right/>
        <vertical/>
        <horizontal/>
      </border>
    </dxf>
    <dxf>
      <border>
        <left style="thin">
          <color theme="0" tint="-0.34998626667073579"/>
        </left>
        <right style="thin">
          <color theme="0" tint="-0.34998626667073579"/>
        </right>
        <top style="thin">
          <color theme="0" tint="-0.34998626667073579"/>
        </top>
        <bottom style="thin">
          <color theme="0" tint="-0.34998626667073579"/>
        </bottom>
        <vertical/>
        <horizontal/>
      </border>
    </dxf>
    <dxf>
      <fill>
        <patternFill patternType="lightUp">
          <fgColor theme="0" tint="-0.24994659260841701"/>
        </patternFill>
      </fill>
      <border>
        <left/>
        <right/>
      </border>
    </dxf>
    <dxf>
      <fill>
        <patternFill patternType="lightUp">
          <fgColor theme="0" tint="-0.24994659260841701"/>
          <bgColor theme="0"/>
        </patternFill>
      </fill>
    </dxf>
    <dxf>
      <fill>
        <patternFill patternType="lightUp">
          <fgColor theme="0" tint="-0.24994659260841701"/>
        </patternFill>
      </fill>
      <border>
        <left style="thin">
          <color theme="0" tint="-0.34998626667073579"/>
        </left>
        <right/>
        <vertical/>
        <horizontal/>
      </border>
    </dxf>
    <dxf>
      <fill>
        <patternFill patternType="lightUp">
          <fgColor theme="0" tint="-0.24994659260841701"/>
        </patternFill>
      </fill>
      <border>
        <left style="thin">
          <color theme="0" tint="-0.34998626667073579"/>
        </left>
        <right/>
      </border>
    </dxf>
    <dxf>
      <fill>
        <patternFill patternType="lightUp">
          <fgColor theme="0" tint="-0.24994659260841701"/>
        </patternFill>
      </fill>
      <border>
        <left/>
        <right/>
        <vertical/>
        <horizontal/>
      </border>
    </dxf>
    <dxf>
      <fill>
        <patternFill patternType="lightUp">
          <fgColor theme="0" tint="-0.24994659260841701"/>
        </patternFill>
      </fill>
      <border>
        <left/>
        <right/>
        <vertical/>
        <horizontal/>
      </border>
    </dxf>
    <dxf>
      <fill>
        <patternFill patternType="lightUp">
          <fgColor theme="0" tint="-0.24994659260841701"/>
          <bgColor theme="0"/>
        </patternFill>
      </fill>
    </dxf>
    <dxf>
      <fill>
        <patternFill patternType="lightUp">
          <fgColor theme="0" tint="-0.24994659260841701"/>
          <bgColor theme="0"/>
        </patternFill>
      </fill>
    </dxf>
    <dxf>
      <fill>
        <patternFill patternType="lightUp">
          <fgColor theme="0" tint="-0.24994659260841701"/>
          <bgColor theme="0"/>
        </patternFill>
      </fill>
      <border>
        <right/>
        <vertical/>
        <horizontal/>
      </border>
    </dxf>
    <dxf>
      <fill>
        <patternFill patternType="lightUp">
          <fgColor theme="0" tint="-0.24994659260841701"/>
          <bgColor theme="0"/>
        </patternFill>
      </fill>
      <border>
        <right/>
        <vertical/>
        <horizontal/>
      </border>
    </dxf>
    <dxf>
      <fill>
        <patternFill patternType="lightUp">
          <fgColor theme="0" tint="-0.24994659260841701"/>
          <bgColor theme="0"/>
        </patternFill>
      </fill>
      <border>
        <right/>
        <vertical/>
        <horizontal/>
      </border>
    </dxf>
    <dxf>
      <fill>
        <patternFill patternType="lightUp">
          <fgColor theme="0" tint="-0.24994659260841701"/>
          <bgColor theme="0"/>
        </patternFill>
      </fill>
      <border>
        <right/>
        <vertical/>
        <horizontal/>
      </border>
    </dxf>
    <dxf>
      <fill>
        <patternFill patternType="lightUp">
          <fgColor theme="0" tint="-0.24994659260841701"/>
          <bgColor theme="0"/>
        </patternFill>
      </fill>
      <border>
        <right/>
        <vertical/>
        <horizontal/>
      </border>
    </dxf>
    <dxf>
      <border>
        <left style="thin">
          <color theme="0" tint="-0.34998626667073579"/>
        </left>
        <right style="thin">
          <color theme="0" tint="-0.34998626667073579"/>
        </right>
        <vertical/>
        <horizontal/>
      </border>
    </dxf>
    <dxf>
      <border>
        <left/>
        <vertical/>
        <horizontal/>
      </border>
    </dxf>
    <dxf>
      <fill>
        <patternFill patternType="lightUp">
          <fgColor theme="0" tint="-0.24994659260841701"/>
          <bgColor theme="0"/>
        </patternFill>
      </fill>
      <border>
        <right/>
      </border>
    </dxf>
    <dxf>
      <fill>
        <patternFill patternType="lightUp">
          <fgColor theme="0" tint="-0.24994659260841701"/>
        </patternFill>
      </fill>
    </dxf>
    <dxf>
      <border>
        <left/>
        <right/>
        <vertical/>
        <horizontal/>
      </border>
    </dxf>
    <dxf>
      <border>
        <left style="thin">
          <color theme="0" tint="-0.34998626667073579"/>
        </left>
        <vertical/>
        <horizontal/>
      </border>
    </dxf>
    <dxf>
      <border>
        <left/>
        <vertical/>
        <horizontal/>
      </border>
    </dxf>
    <dxf>
      <border>
        <left style="thin">
          <color theme="0" tint="-0.34998626667073579"/>
        </left>
        <vertical/>
        <horizontal/>
      </border>
    </dxf>
    <dxf>
      <border>
        <left style="thin">
          <color theme="0" tint="-0.34998626667073579"/>
        </left>
        <vertical/>
        <horizontal/>
      </border>
    </dxf>
    <dxf>
      <border>
        <left style="thin">
          <color theme="0" tint="-0.34998626667073579"/>
        </left>
        <vertical/>
        <horizontal/>
      </border>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border>
        <right/>
      </border>
    </dxf>
    <dxf>
      <fill>
        <patternFill patternType="lightUp">
          <fgColor theme="0" tint="-0.24994659260841701"/>
        </patternFill>
      </fill>
    </dxf>
    <dxf>
      <border>
        <left/>
        <right/>
        <vertical/>
        <horizontal/>
      </border>
    </dxf>
    <dxf>
      <border>
        <right/>
        <vertical/>
        <horizontal/>
      </border>
    </dxf>
    <dxf>
      <fill>
        <patternFill patternType="lightUp">
          <fgColor theme="0" tint="-0.24994659260841701"/>
        </patternFill>
      </fill>
    </dxf>
    <dxf>
      <fill>
        <patternFill patternType="solid">
          <fgColor theme="0"/>
          <bgColor theme="0"/>
        </patternFill>
      </fill>
    </dxf>
    <dxf>
      <font>
        <color theme="1" tint="0.34998626667073579"/>
      </font>
      <fill>
        <patternFill patternType="solid">
          <fgColor theme="0"/>
        </patternFill>
      </fill>
    </dxf>
    <dxf>
      <fill>
        <patternFill patternType="lightUp">
          <fgColor theme="0" tint="-0.24994659260841701"/>
          <bgColor theme="0"/>
        </patternFill>
      </fill>
      <border>
        <vertical/>
        <horizontal/>
      </border>
    </dxf>
    <dxf>
      <fill>
        <patternFill patternType="solid">
          <fgColor theme="0"/>
        </patternFill>
      </fill>
    </dxf>
    <dxf>
      <border>
        <left style="thin">
          <color theme="0" tint="-0.34998626667073579"/>
        </left>
        <right style="thin">
          <color theme="0" tint="-0.34998626667073579"/>
        </right>
        <top style="thin">
          <color theme="0" tint="-0.34998626667073579"/>
        </top>
        <bottom style="thin">
          <color theme="0" tint="-0.34998626667073579"/>
        </bottom>
        <vertical/>
        <horizontal/>
      </border>
    </dxf>
    <dxf>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border>
        <left style="thin">
          <color theme="0" tint="-0.499984740745262"/>
        </left>
        <right/>
        <top/>
        <bottom/>
        <vertical/>
        <horizontal/>
      </border>
    </dxf>
    <dxf>
      <fill>
        <patternFill patternType="lightUp">
          <fgColor theme="0" tint="-0.24994659260841701"/>
        </patternFill>
      </fill>
    </dxf>
    <dxf>
      <font>
        <color theme="0"/>
      </font>
      <fill>
        <patternFill patternType="solid">
          <bgColor theme="0"/>
        </patternFill>
      </fill>
      <border>
        <left style="thin">
          <color theme="0"/>
        </left>
        <right style="thin">
          <color theme="0"/>
        </right>
        <top style="thin">
          <color theme="0"/>
        </top>
        <bottom style="thin">
          <color theme="0"/>
        </bottom>
        <vertical/>
        <horizontal/>
      </border>
    </dxf>
    <dxf>
      <fill>
        <patternFill patternType="lightUp">
          <fgColor theme="0" tint="-0.24994659260841701"/>
        </patternFill>
      </fill>
    </dxf>
    <dxf>
      <fill>
        <patternFill patternType="lightUp">
          <fgColor theme="0" tint="-0.24994659260841701"/>
        </patternFill>
      </fill>
      <border>
        <right/>
        <vertical/>
        <horizontal/>
      </border>
    </dxf>
    <dxf>
      <fill>
        <patternFill patternType="lightUp">
          <fgColor theme="0" tint="-0.24994659260841701"/>
        </patternFill>
      </fill>
    </dxf>
    <dxf>
      <fill>
        <patternFill patternType="lightUp">
          <fgColor theme="0" tint="-0.24994659260841701"/>
        </patternFill>
      </fill>
      <border>
        <right/>
      </border>
    </dxf>
    <dxf>
      <fill>
        <patternFill patternType="lightUp">
          <fgColor theme="0" tint="-0.24994659260841701"/>
        </patternFill>
      </fill>
    </dxf>
    <dxf>
      <fill>
        <patternFill patternType="lightUp">
          <fgColor theme="0" tint="-0.24994659260841701"/>
        </patternFill>
      </fill>
    </dxf>
    <dxf>
      <fill>
        <patternFill patternType="lightUp">
          <fgColor theme="0" tint="-0.24994659260841701"/>
        </patternFill>
      </fill>
      <border>
        <left/>
        <right/>
      </border>
    </dxf>
    <dxf>
      <fill>
        <patternFill patternType="lightUp">
          <fgColor theme="0" tint="-0.24994659260841701"/>
          <bgColor theme="0"/>
        </patternFill>
      </fill>
    </dxf>
    <dxf>
      <fill>
        <patternFill patternType="lightUp">
          <fgColor theme="0" tint="-0.24994659260841701"/>
        </patternFill>
      </fill>
      <border>
        <left/>
        <right/>
      </border>
    </dxf>
    <dxf>
      <fill>
        <patternFill patternType="lightUp">
          <fgColor theme="0" tint="-0.24994659260841701"/>
          <bgColor theme="0"/>
        </patternFill>
      </fill>
    </dxf>
    <dxf>
      <font>
        <color theme="0"/>
      </font>
      <fill>
        <patternFill>
          <bgColor theme="0"/>
        </patternFill>
      </fill>
      <border>
        <left/>
        <right/>
        <top/>
        <bottom/>
        <vertical/>
        <horizontal/>
      </border>
    </dxf>
    <dxf>
      <font>
        <color rgb="FFFF0000"/>
      </font>
      <border>
        <left style="thin">
          <color theme="0" tint="-0.499984740745262"/>
        </left>
        <right style="thin">
          <color theme="0" tint="-0.499984740745262"/>
        </right>
        <top style="thin">
          <color theme="0" tint="-0.499984740745262"/>
        </top>
        <bottom style="thin">
          <color theme="0" tint="-0.499984740745262"/>
        </bottom>
      </border>
    </dxf>
    <dxf>
      <font>
        <color rgb="FFFF0000"/>
      </font>
    </dxf>
    <dxf>
      <font>
        <color rgb="FFFF0000"/>
      </font>
    </dxf>
    <dxf>
      <font>
        <color theme="0"/>
      </font>
    </dxf>
    <dxf>
      <font>
        <color rgb="FFFF0000"/>
      </font>
      <border>
        <vertical/>
        <horizontal/>
      </border>
    </dxf>
    <dxf>
      <font>
        <strike/>
        <color theme="0" tint="-0.34998626667073579"/>
      </font>
      <fill>
        <gradientFill degree="90">
          <stop position="0">
            <color theme="0" tint="-0.1490218817712943"/>
          </stop>
          <stop position="1">
            <color theme="0" tint="-0.1490218817712943"/>
          </stop>
        </gradientFill>
      </fill>
    </dxf>
    <dxf>
      <font>
        <color rgb="FFFF0000"/>
      </font>
    </dxf>
    <dxf>
      <font>
        <strike/>
        <color theme="0" tint="-0.34998626667073579"/>
      </font>
      <fill>
        <patternFill>
          <bgColor theme="0" tint="-0.14996795556505021"/>
        </patternFill>
      </fill>
    </dxf>
    <dxf>
      <font>
        <strike/>
        <color theme="0" tint="-0.34998626667073579"/>
      </font>
      <fill>
        <patternFill>
          <bgColor theme="0" tint="-0.14996795556505021"/>
        </patternFill>
      </fill>
    </dxf>
    <dxf>
      <font>
        <strike/>
        <color theme="0" tint="-0.34998626667073579"/>
      </font>
      <fill>
        <patternFill>
          <bgColor theme="0" tint="-0.14996795556505021"/>
        </patternFill>
      </fill>
    </dxf>
    <dxf>
      <font>
        <strike/>
        <color theme="0" tint="-0.34998626667073579"/>
      </font>
      <fill>
        <patternFill>
          <bgColor theme="0" tint="-0.14996795556505021"/>
        </patternFill>
      </fill>
    </dxf>
    <dxf>
      <font>
        <color theme="0"/>
      </font>
      <fill>
        <patternFill>
          <bgColor theme="0"/>
        </patternFill>
      </fill>
      <border>
        <left/>
        <right/>
        <top/>
        <bottom/>
      </border>
    </dxf>
    <dxf>
      <font>
        <color theme="0"/>
      </font>
    </dxf>
    <dxf>
      <font>
        <color theme="0"/>
      </font>
      <border>
        <left/>
        <right/>
        <top/>
        <bottom/>
        <vertical/>
        <horizontal/>
      </border>
    </dxf>
    <dxf>
      <font>
        <color theme="0"/>
      </font>
    </dxf>
    <dxf>
      <font>
        <color theme="0"/>
      </font>
      <border>
        <left/>
        <right/>
        <top/>
        <bottom/>
        <vertical/>
        <horizontal/>
      </border>
    </dxf>
    <dxf>
      <font>
        <b/>
        <i val="0"/>
        <color rgb="FFFF0000"/>
      </font>
    </dxf>
    <dxf>
      <font>
        <color rgb="FFFF0000"/>
      </font>
    </dxf>
    <dxf>
      <font>
        <color rgb="FFFF0000"/>
      </font>
    </dxf>
    <dxf>
      <border>
        <left style="thin">
          <color auto="1"/>
        </left>
        <right style="thin">
          <color auto="1"/>
        </right>
        <top style="thin">
          <color auto="1"/>
        </top>
        <bottom style="double">
          <color auto="1"/>
        </bottom>
        <horizontal style="thin">
          <color auto="1"/>
        </horizontal>
      </border>
    </dxf>
    <dxf>
      <border>
        <left style="thin">
          <color auto="1"/>
        </left>
        <right style="thin">
          <color auto="1"/>
        </right>
        <top style="thin">
          <color auto="1"/>
        </top>
        <bottom style="thin">
          <color auto="1"/>
        </bottom>
        <vertical style="thin">
          <color auto="1"/>
        </vertical>
        <horizontal style="thin">
          <color auto="1"/>
        </horizontal>
      </border>
    </dxf>
  </dxfs>
  <tableStyles count="3" defaultTableStyle="TableStyleMedium9" defaultPivotStyle="PivotStyleLight16">
    <tableStyle name="Table Style 1" pivot="0" count="1">
      <tableStyleElement type="wholeTable" dxfId="387"/>
    </tableStyle>
    <tableStyle name="Table Style 2" pivot="0" count="0"/>
    <tableStyle name="Table Style 3" pivot="0" count="1">
      <tableStyleElement type="wholeTable" dxfId="386"/>
    </tableStyle>
  </tableStyles>
  <colors>
    <mruColors>
      <color rgb="FFFCB525"/>
      <color rgb="FFD4EDB9"/>
      <color rgb="FF6D6D6D"/>
      <color rgb="FFECECEC"/>
      <color rgb="FFE6E6E6"/>
      <color rgb="FFB0DD7F"/>
      <color rgb="FFC2E59B"/>
      <color rgb="FFB2DE82"/>
      <color rgb="FF7CBF33"/>
      <color rgb="FFEEEE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1" Type="http://schemas.openxmlformats.org/officeDocument/2006/relationships/image" Target="../media/image1.jpg"/></Relationships>
</file>

<file path=xl/drawings/_rels/drawing7.xml.rels><?xml version="1.0" encoding="UTF-8" standalone="yes"?>
<Relationships xmlns="http://schemas.openxmlformats.org/package/2006/relationships"><Relationship Id="rId1" Type="http://schemas.openxmlformats.org/officeDocument/2006/relationships/image" Target="../media/image1.jp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10583</xdr:colOff>
      <xdr:row>0</xdr:row>
      <xdr:rowOff>52917</xdr:rowOff>
    </xdr:from>
    <xdr:to>
      <xdr:col>3</xdr:col>
      <xdr:colOff>217812</xdr:colOff>
      <xdr:row>3</xdr:row>
      <xdr:rowOff>60272</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8750" y="52917"/>
          <a:ext cx="577645" cy="74818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1</xdr:colOff>
      <xdr:row>0</xdr:row>
      <xdr:rowOff>63500</xdr:rowOff>
    </xdr:from>
    <xdr:to>
      <xdr:col>2</xdr:col>
      <xdr:colOff>376562</xdr:colOff>
      <xdr:row>5</xdr:row>
      <xdr:rowOff>81438</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4584" y="63500"/>
          <a:ext cx="577645" cy="74818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359276</xdr:colOff>
      <xdr:row>2</xdr:row>
      <xdr:rowOff>80310</xdr:rowOff>
    </xdr:to>
    <xdr:pic>
      <xdr:nvPicPr>
        <xdr:cNvPr id="4" name="Picture 3"/>
        <xdr:cNvPicPr>
          <a:picLocks noChangeAspect="1"/>
        </xdr:cNvPicPr>
      </xdr:nvPicPr>
      <xdr:blipFill>
        <a:blip xmlns:r="http://schemas.openxmlformats.org/officeDocument/2006/relationships" r:embed="rId1" cstate="print"/>
        <a:stretch>
          <a:fillRect/>
        </a:stretch>
      </xdr:blipFill>
      <xdr:spPr>
        <a:xfrm>
          <a:off x="52917" y="0"/>
          <a:ext cx="1534026" cy="440143"/>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10583</xdr:colOff>
      <xdr:row>0</xdr:row>
      <xdr:rowOff>0</xdr:rowOff>
    </xdr:from>
    <xdr:to>
      <xdr:col>2</xdr:col>
      <xdr:colOff>602692</xdr:colOff>
      <xdr:row>2</xdr:row>
      <xdr:rowOff>80310</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148166" y="0"/>
          <a:ext cx="1534026" cy="440143"/>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169334</xdr:colOff>
      <xdr:row>0</xdr:row>
      <xdr:rowOff>74084</xdr:rowOff>
    </xdr:from>
    <xdr:to>
      <xdr:col>2</xdr:col>
      <xdr:colOff>503562</xdr:colOff>
      <xdr:row>5</xdr:row>
      <xdr:rowOff>92022</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3417" y="74084"/>
          <a:ext cx="577645" cy="74818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194937</xdr:colOff>
      <xdr:row>0</xdr:row>
      <xdr:rowOff>105833</xdr:rowOff>
    </xdr:from>
    <xdr:to>
      <xdr:col>1</xdr:col>
      <xdr:colOff>772582</xdr:colOff>
      <xdr:row>5</xdr:row>
      <xdr:rowOff>123771</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2520" y="105833"/>
          <a:ext cx="577645" cy="7481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21169</xdr:colOff>
      <xdr:row>0</xdr:row>
      <xdr:rowOff>63499</xdr:rowOff>
    </xdr:from>
    <xdr:to>
      <xdr:col>3</xdr:col>
      <xdr:colOff>397731</xdr:colOff>
      <xdr:row>5</xdr:row>
      <xdr:rowOff>81437</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669" y="63499"/>
          <a:ext cx="577645" cy="74818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31750</xdr:colOff>
      <xdr:row>0</xdr:row>
      <xdr:rowOff>52917</xdr:rowOff>
    </xdr:from>
    <xdr:to>
      <xdr:col>2</xdr:col>
      <xdr:colOff>196645</xdr:colOff>
      <xdr:row>5</xdr:row>
      <xdr:rowOff>70855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833" y="52917"/>
          <a:ext cx="577645" cy="74818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4</xdr:col>
      <xdr:colOff>570943</xdr:colOff>
      <xdr:row>2</xdr:row>
      <xdr:rowOff>80310</xdr:rowOff>
    </xdr:to>
    <xdr:pic>
      <xdr:nvPicPr>
        <xdr:cNvPr id="3" name="Picture 2"/>
        <xdr:cNvPicPr>
          <a:picLocks noChangeAspect="1"/>
        </xdr:cNvPicPr>
      </xdr:nvPicPr>
      <xdr:blipFill>
        <a:blip xmlns:r="http://schemas.openxmlformats.org/officeDocument/2006/relationships" r:embed="rId1" cstate="print"/>
        <a:stretch>
          <a:fillRect/>
        </a:stretch>
      </xdr:blipFill>
      <xdr:spPr>
        <a:xfrm>
          <a:off x="105833" y="0"/>
          <a:ext cx="1534026" cy="44014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21166</xdr:colOff>
      <xdr:row>0</xdr:row>
      <xdr:rowOff>63500</xdr:rowOff>
    </xdr:from>
    <xdr:to>
      <xdr:col>2</xdr:col>
      <xdr:colOff>598811</xdr:colOff>
      <xdr:row>5</xdr:row>
      <xdr:rowOff>81438</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499" y="63500"/>
          <a:ext cx="577645" cy="74818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52917</xdr:colOff>
      <xdr:row>0</xdr:row>
      <xdr:rowOff>74084</xdr:rowOff>
    </xdr:from>
    <xdr:to>
      <xdr:col>3</xdr:col>
      <xdr:colOff>111979</xdr:colOff>
      <xdr:row>5</xdr:row>
      <xdr:rowOff>92022</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6417" y="74084"/>
          <a:ext cx="577645" cy="74818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116417</xdr:colOff>
      <xdr:row>0</xdr:row>
      <xdr:rowOff>84667</xdr:rowOff>
    </xdr:from>
    <xdr:to>
      <xdr:col>3</xdr:col>
      <xdr:colOff>175479</xdr:colOff>
      <xdr:row>5</xdr:row>
      <xdr:rowOff>102605</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9917" y="84667"/>
          <a:ext cx="577645" cy="74818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708526</xdr:colOff>
      <xdr:row>2</xdr:row>
      <xdr:rowOff>80310</xdr:rowOff>
    </xdr:to>
    <xdr:pic>
      <xdr:nvPicPr>
        <xdr:cNvPr id="4" name="Picture 3"/>
        <xdr:cNvPicPr>
          <a:picLocks noChangeAspect="1"/>
        </xdr:cNvPicPr>
      </xdr:nvPicPr>
      <xdr:blipFill>
        <a:blip xmlns:r="http://schemas.openxmlformats.org/officeDocument/2006/relationships" r:embed="rId1" cstate="print"/>
        <a:stretch>
          <a:fillRect/>
        </a:stretch>
      </xdr:blipFill>
      <xdr:spPr>
        <a:xfrm>
          <a:off x="74083" y="0"/>
          <a:ext cx="1534026" cy="440143"/>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31750</xdr:colOff>
      <xdr:row>0</xdr:row>
      <xdr:rowOff>74084</xdr:rowOff>
    </xdr:from>
    <xdr:to>
      <xdr:col>2</xdr:col>
      <xdr:colOff>609395</xdr:colOff>
      <xdr:row>5</xdr:row>
      <xdr:rowOff>92022</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1083" y="74084"/>
          <a:ext cx="577645" cy="74818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fhlbsea.com/AHP/Program%20Administration/Funding%20Rounds/2014/Excel%20Workbooks%20&amp;%20Applications/201402002%20-%20Julian%20Hotel%20Apartments/201402002%20-%20Application%20TIV%20Review.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Info and Instructions"/>
      <sheetName val="A(1)-Sources Stmt."/>
      <sheetName val="A(2)-Uses Statement"/>
      <sheetName val="A(3)-Sources and Uses Summary"/>
      <sheetName val="B-Rent Schedule"/>
      <sheetName val="C(1)-Rental Operating ProForma"/>
      <sheetName val="C(2)-Commercial ProForma"/>
      <sheetName val="D-Owner-Occ Housing Expense"/>
      <sheetName val="E-Feasibility Analysis"/>
      <sheetName val="F-TIV"/>
      <sheetName val="G-Sponsor Provided Financing"/>
      <sheetName val="Validation Warnings Hidden"/>
      <sheetName val="TIV - FHLB Use Only"/>
      <sheetName val="Validation Warnings"/>
      <sheetName val="RSMeans"/>
      <sheetName val="Income Limits"/>
    </sheetNames>
    <sheetDataSet>
      <sheetData sheetId="0"/>
      <sheetData sheetId="1"/>
      <sheetData sheetId="2"/>
      <sheetData sheetId="3"/>
      <sheetData sheetId="4"/>
      <sheetData sheetId="5"/>
      <sheetData sheetId="6"/>
      <sheetData sheetId="7"/>
      <sheetData sheetId="8">
        <row r="79">
          <cell r="AG79">
            <v>0</v>
          </cell>
          <cell r="AI79">
            <v>0</v>
          </cell>
          <cell r="AJ79">
            <v>0</v>
          </cell>
          <cell r="AK79">
            <v>0</v>
          </cell>
        </row>
        <row r="80">
          <cell r="AG80" t="str">
            <v>A state has not been selected.</v>
          </cell>
          <cell r="AI80" t="str">
            <v>Anchorage, AK  (MSA)</v>
          </cell>
          <cell r="AJ80" t="str">
            <v>STATES &amp; POSS., GUAM  (City)</v>
          </cell>
          <cell r="AK80" t="str">
            <v>HILO  (City)</v>
          </cell>
          <cell r="AL80" t="str">
            <v>Boise City-Nampa, ID  (MSA)</v>
          </cell>
          <cell r="AM80" t="str">
            <v>Billings, MT  (MSA)</v>
          </cell>
          <cell r="AN80" t="str">
            <v>Bend, OR  (MSA)</v>
          </cell>
          <cell r="AO80" t="str">
            <v>Logan, UT-ID  (MSA)</v>
          </cell>
          <cell r="AP80" t="str">
            <v>Bellingham, WA  (MSA)</v>
          </cell>
          <cell r="AQ80" t="str">
            <v>Casper, WY  (MSA)</v>
          </cell>
        </row>
        <row r="81">
          <cell r="AI81" t="str">
            <v>Fairbanks, AK  (MSA)</v>
          </cell>
          <cell r="AK81" t="str">
            <v>Honolulu, HI  (MSA)</v>
          </cell>
          <cell r="AL81" t="str">
            <v>Coeur d'Alene, ID  (MSA)</v>
          </cell>
          <cell r="AM81" t="str">
            <v>BUTTE  (City)</v>
          </cell>
          <cell r="AN81" t="str">
            <v>Corvallis, OR  (MSA)</v>
          </cell>
          <cell r="AO81" t="str">
            <v>Ogden-Clearfield, UT  (MSA)</v>
          </cell>
          <cell r="AP81" t="str">
            <v>Bremerton-Silverdale, WA  (MSA)</v>
          </cell>
          <cell r="AQ81" t="str">
            <v>Cheyenne, WY  (MSA)</v>
          </cell>
        </row>
        <row r="82">
          <cell r="AI82" t="str">
            <v>JUNEAU  (City)</v>
          </cell>
          <cell r="AL82" t="str">
            <v>Idaho  (State)</v>
          </cell>
          <cell r="AM82" t="str">
            <v>Great Falls, MT  (MSA)</v>
          </cell>
          <cell r="AN82" t="str">
            <v>Eugene-Springfield, OR  (MSA)</v>
          </cell>
          <cell r="AO82" t="str">
            <v>PRICE  (City)</v>
          </cell>
          <cell r="AP82" t="str">
            <v>CLARKSTON  (City)</v>
          </cell>
          <cell r="AQ82" t="str">
            <v>NEWCASTLE  (City)</v>
          </cell>
        </row>
        <row r="83">
          <cell r="AI83" t="str">
            <v>KETCHIKAN  (City)</v>
          </cell>
          <cell r="AL83" t="str">
            <v>Idaho Falls, ID  (MSA)</v>
          </cell>
          <cell r="AM83" t="str">
            <v>HAVRE  (City)</v>
          </cell>
          <cell r="AN83" t="str">
            <v>KLAMATH FALLS  (City)</v>
          </cell>
          <cell r="AO83" t="str">
            <v>Provo-Orem, UT  (MSA)</v>
          </cell>
          <cell r="AP83" t="str">
            <v>Kennewick-Richland-Pasco, WA  (MSA)</v>
          </cell>
          <cell r="AQ83" t="str">
            <v>RAWLINS  (City)</v>
          </cell>
        </row>
        <row r="84">
          <cell r="AL84" t="str">
            <v>Lewiston, ID-WA  (MSA)</v>
          </cell>
          <cell r="AM84" t="str">
            <v>HELENA  (City)</v>
          </cell>
          <cell r="AN84" t="str">
            <v>Medford, OR  (MSA)</v>
          </cell>
          <cell r="AO84" t="str">
            <v>Salt Lake City, UT  (MSA)</v>
          </cell>
          <cell r="AP84" t="str">
            <v>Lewiston, ID-WA  (MSA)</v>
          </cell>
          <cell r="AQ84" t="str">
            <v>RIVERTON  (City)</v>
          </cell>
        </row>
        <row r="85">
          <cell r="AL85" t="str">
            <v>Logan, UT-ID  (MSA)</v>
          </cell>
          <cell r="AM85" t="str">
            <v>KALISPELL  (City)</v>
          </cell>
          <cell r="AN85" t="str">
            <v>Oregon  (State)</v>
          </cell>
          <cell r="AO85" t="str">
            <v>St. George, UT  (MSA)</v>
          </cell>
          <cell r="AP85" t="str">
            <v>Longview-Kelso, WA  (MSA)</v>
          </cell>
          <cell r="AQ85" t="str">
            <v>ROCK SPRINGS  (City)</v>
          </cell>
        </row>
        <row r="86">
          <cell r="AL86" t="str">
            <v>Pocatello, ID  (MSA)</v>
          </cell>
          <cell r="AM86" t="str">
            <v>MILES CITY  (City)</v>
          </cell>
          <cell r="AN86" t="str">
            <v>PENDLETON  (City)</v>
          </cell>
          <cell r="AO86" t="str">
            <v>Utah  (State)</v>
          </cell>
          <cell r="AP86" t="str">
            <v>Mount Vernon-Anacortes, WA  (MSA)</v>
          </cell>
          <cell r="AQ86" t="str">
            <v>SHERIDAN  (City)</v>
          </cell>
        </row>
        <row r="87">
          <cell r="AL87" t="str">
            <v>TWIN FALLS  (City)</v>
          </cell>
          <cell r="AM87" t="str">
            <v>Missoula, MT  (MSA)</v>
          </cell>
          <cell r="AN87" t="str">
            <v>Portland-Vancouver-Beaverton, OR-WA  (MSA)</v>
          </cell>
          <cell r="AP87" t="str">
            <v>Olympia, WA  (MSA)</v>
          </cell>
          <cell r="AQ87" t="str">
            <v>WHEATLAND  (City)</v>
          </cell>
        </row>
        <row r="88">
          <cell r="AM88" t="str">
            <v>Montana  (State)</v>
          </cell>
          <cell r="AN88" t="str">
            <v>Salem, OR  (MSA)</v>
          </cell>
          <cell r="AP88" t="str">
            <v>Portland-Vancouver-Beaverton, OR-WA  (MSA)</v>
          </cell>
          <cell r="AQ88" t="str">
            <v>WORLAND  (City)</v>
          </cell>
        </row>
        <row r="89">
          <cell r="AM89" t="str">
            <v>WOLF POINT  (City)</v>
          </cell>
          <cell r="AN89" t="str">
            <v>VALE  (City)</v>
          </cell>
          <cell r="AP89" t="str">
            <v>Seattle-Tacoma-Bellevue, WA  (MSA)</v>
          </cell>
          <cell r="AQ89" t="str">
            <v>Wyoming  (State)</v>
          </cell>
        </row>
        <row r="90">
          <cell r="AP90" t="str">
            <v>Spokane, WA  (MSA)</v>
          </cell>
          <cell r="AQ90" t="str">
            <v>YELLOWSTONE NAT'L PA  (City)</v>
          </cell>
        </row>
        <row r="91">
          <cell r="AP91" t="str">
            <v>Washington  (State)</v>
          </cell>
        </row>
        <row r="92">
          <cell r="AP92" t="str">
            <v>Wenatchee, WA  (MSA)</v>
          </cell>
        </row>
        <row r="93">
          <cell r="AP93" t="str">
            <v>Yakima, WA  (MSA)</v>
          </cell>
        </row>
      </sheetData>
      <sheetData sheetId="9"/>
      <sheetData sheetId="10"/>
      <sheetData sheetId="11"/>
      <sheetData sheetId="12"/>
      <sheetData sheetId="13"/>
      <sheetData sheetId="14"/>
      <sheetData sheetId="15">
        <row r="2">
          <cell r="C2">
            <v>2014</v>
          </cell>
        </row>
        <row r="3">
          <cell r="B3" t="str">
            <v>Other County/State</v>
          </cell>
        </row>
        <row r="4">
          <cell r="B4" t="str">
            <v>Aleutians East Borough, Alaska</v>
          </cell>
        </row>
        <row r="5">
          <cell r="B5" t="str">
            <v>Aleutians West Census Area, Alaska</v>
          </cell>
        </row>
        <row r="6">
          <cell r="B6" t="str">
            <v>Anchorage Municipality, Alaska</v>
          </cell>
        </row>
        <row r="7">
          <cell r="B7" t="str">
            <v>Bethel Census Area, Alaska</v>
          </cell>
        </row>
        <row r="8">
          <cell r="B8" t="str">
            <v>Bristol Bay Borough, Alaska</v>
          </cell>
        </row>
        <row r="9">
          <cell r="B9" t="str">
            <v>Denali Borough, Alaska</v>
          </cell>
        </row>
        <row r="10">
          <cell r="B10" t="str">
            <v>Dillingham Census Area, Alaska</v>
          </cell>
        </row>
        <row r="11">
          <cell r="B11" t="str">
            <v>Fairbanks North Star Borough, Alaska</v>
          </cell>
        </row>
        <row r="12">
          <cell r="B12" t="str">
            <v>Haines Borough, Alaska</v>
          </cell>
        </row>
        <row r="13">
          <cell r="B13" t="str">
            <v>Hoonah-Angoon Census Area, Alaska</v>
          </cell>
        </row>
        <row r="14">
          <cell r="B14" t="str">
            <v>Juneau City and Borough, Alaska</v>
          </cell>
        </row>
        <row r="15">
          <cell r="B15" t="str">
            <v>Kenai Peninsula Borough, Alaska</v>
          </cell>
        </row>
        <row r="16">
          <cell r="B16" t="str">
            <v>Ketchikan Gateway Borough, Alaska</v>
          </cell>
        </row>
        <row r="17">
          <cell r="B17" t="str">
            <v>Kodiak Island Borough, Alaska</v>
          </cell>
        </row>
        <row r="18">
          <cell r="B18" t="str">
            <v>Lake and Peninsula Borough, Alaska</v>
          </cell>
        </row>
        <row r="19">
          <cell r="B19" t="str">
            <v>Matanuska-Susitna Borough, Alaska</v>
          </cell>
        </row>
        <row r="20">
          <cell r="B20" t="str">
            <v>Nome Census Area, Alaska</v>
          </cell>
        </row>
        <row r="21">
          <cell r="B21" t="str">
            <v>North Slope Borough, Alaska</v>
          </cell>
        </row>
        <row r="22">
          <cell r="B22" t="str">
            <v>Northwest Arctic Borough, Alaska</v>
          </cell>
        </row>
        <row r="23">
          <cell r="B23" t="str">
            <v>Petersburg Census Area, Alaska</v>
          </cell>
        </row>
        <row r="24">
          <cell r="B24" t="str">
            <v>Prince of Wales-Hyder Census Area, Alaska</v>
          </cell>
        </row>
        <row r="25">
          <cell r="B25" t="str">
            <v>Sitka City and Borough, Alaska</v>
          </cell>
        </row>
        <row r="26">
          <cell r="B26" t="str">
            <v>Skagway Municipality, Alaska</v>
          </cell>
        </row>
        <row r="27">
          <cell r="B27" t="str">
            <v>Southeast Fairbanks Census Area, Alaska</v>
          </cell>
        </row>
        <row r="28">
          <cell r="B28" t="str">
            <v>Valdez-Cordova Census Area, Alaska</v>
          </cell>
        </row>
        <row r="29">
          <cell r="B29" t="str">
            <v>Wade Hampton Census Area, Alaska</v>
          </cell>
        </row>
        <row r="30">
          <cell r="B30" t="str">
            <v>Wrangell City and Borough, Alaska</v>
          </cell>
        </row>
        <row r="31">
          <cell r="B31" t="str">
            <v>Yakutat City and Borough, Alaska</v>
          </cell>
        </row>
        <row r="32">
          <cell r="B32" t="str">
            <v>Yukon-Koyukuk Census Area, Alaska</v>
          </cell>
        </row>
        <row r="33">
          <cell r="B33" t="str">
            <v>Guam, Guam</v>
          </cell>
        </row>
        <row r="34">
          <cell r="B34" t="str">
            <v>Hawaii County, Hawaii</v>
          </cell>
        </row>
        <row r="35">
          <cell r="B35" t="str">
            <v>Honolulu County, Hawaii</v>
          </cell>
        </row>
        <row r="36">
          <cell r="B36" t="str">
            <v>Kalawao County, Hawaii</v>
          </cell>
        </row>
        <row r="37">
          <cell r="B37" t="str">
            <v>Kauai County, Hawaii</v>
          </cell>
        </row>
        <row r="38">
          <cell r="B38" t="str">
            <v>Maui County, Hawaii</v>
          </cell>
        </row>
        <row r="39">
          <cell r="B39" t="str">
            <v>Ada County, Idaho</v>
          </cell>
        </row>
        <row r="40">
          <cell r="B40" t="str">
            <v>Adams County, Idaho</v>
          </cell>
        </row>
        <row r="41">
          <cell r="B41" t="str">
            <v>Bannock County, Idaho</v>
          </cell>
        </row>
        <row r="42">
          <cell r="B42" t="str">
            <v>Bear Lake County, Idaho</v>
          </cell>
        </row>
        <row r="43">
          <cell r="B43" t="str">
            <v>Benewah County, Idaho</v>
          </cell>
        </row>
        <row r="44">
          <cell r="B44" t="str">
            <v>Bingham County, Idaho</v>
          </cell>
        </row>
        <row r="45">
          <cell r="B45" t="str">
            <v>Blaine County, Idaho</v>
          </cell>
        </row>
        <row r="46">
          <cell r="B46" t="str">
            <v>Boise County, Idaho</v>
          </cell>
        </row>
        <row r="47">
          <cell r="B47" t="str">
            <v>Bonner County, Idaho</v>
          </cell>
        </row>
        <row r="48">
          <cell r="B48" t="str">
            <v>Bonneville County, Idaho</v>
          </cell>
        </row>
        <row r="49">
          <cell r="B49" t="str">
            <v>Boundary County, Idaho</v>
          </cell>
        </row>
        <row r="50">
          <cell r="B50" t="str">
            <v>Butte County, Idaho</v>
          </cell>
        </row>
        <row r="51">
          <cell r="B51" t="str">
            <v>Camas County, Idaho</v>
          </cell>
        </row>
        <row r="52">
          <cell r="B52" t="str">
            <v>Canyon County, Idaho</v>
          </cell>
        </row>
        <row r="53">
          <cell r="B53" t="str">
            <v>Caribou County, Idaho</v>
          </cell>
        </row>
        <row r="54">
          <cell r="B54" t="str">
            <v>Cassia County, Idaho</v>
          </cell>
        </row>
        <row r="55">
          <cell r="B55" t="str">
            <v>Clark County, Idaho</v>
          </cell>
        </row>
        <row r="56">
          <cell r="B56" t="str">
            <v>Clearwater County, Idaho</v>
          </cell>
        </row>
        <row r="57">
          <cell r="B57" t="str">
            <v>Custer County, Idaho</v>
          </cell>
        </row>
        <row r="58">
          <cell r="B58" t="str">
            <v>Elmore County, Idaho</v>
          </cell>
        </row>
        <row r="59">
          <cell r="B59" t="str">
            <v>Franklin County, Idaho</v>
          </cell>
        </row>
        <row r="60">
          <cell r="B60" t="str">
            <v>Fremont County, Idaho</v>
          </cell>
        </row>
        <row r="61">
          <cell r="B61" t="str">
            <v>Gem County, Idaho</v>
          </cell>
        </row>
        <row r="62">
          <cell r="B62" t="str">
            <v>Gooding County, Idaho</v>
          </cell>
        </row>
        <row r="63">
          <cell r="B63" t="str">
            <v>Idaho County, Idaho</v>
          </cell>
        </row>
        <row r="64">
          <cell r="B64" t="str">
            <v>Jefferson County, Idaho</v>
          </cell>
        </row>
        <row r="65">
          <cell r="B65" t="str">
            <v>Jerome County, Idaho</v>
          </cell>
        </row>
        <row r="66">
          <cell r="B66" t="str">
            <v>Kootenai County, Idaho</v>
          </cell>
        </row>
        <row r="67">
          <cell r="B67" t="str">
            <v>Latah County, Idaho</v>
          </cell>
        </row>
        <row r="68">
          <cell r="B68" t="str">
            <v>Lemhi County, Idaho</v>
          </cell>
        </row>
        <row r="69">
          <cell r="B69" t="str">
            <v>Lewis County, Idaho</v>
          </cell>
        </row>
        <row r="70">
          <cell r="B70" t="str">
            <v>Lincoln County, Idaho</v>
          </cell>
        </row>
        <row r="71">
          <cell r="B71" t="str">
            <v>Madison County, Idaho</v>
          </cell>
        </row>
        <row r="72">
          <cell r="B72" t="str">
            <v>Minidoka County, Idaho</v>
          </cell>
        </row>
        <row r="73">
          <cell r="B73" t="str">
            <v>Nez Perce County, Idaho</v>
          </cell>
        </row>
        <row r="74">
          <cell r="B74" t="str">
            <v>Oneida County, Idaho</v>
          </cell>
        </row>
        <row r="75">
          <cell r="B75" t="str">
            <v>Owyhee County, Idaho</v>
          </cell>
        </row>
        <row r="76">
          <cell r="B76" t="str">
            <v>Payette County, Idaho</v>
          </cell>
        </row>
        <row r="77">
          <cell r="B77" t="str">
            <v>Power County, Idaho</v>
          </cell>
        </row>
        <row r="78">
          <cell r="B78" t="str">
            <v>Shoshone County, Idaho</v>
          </cell>
        </row>
        <row r="79">
          <cell r="B79" t="str">
            <v>Teton County, Idaho</v>
          </cell>
        </row>
        <row r="80">
          <cell r="B80" t="str">
            <v>Twin Falls County, Idaho</v>
          </cell>
        </row>
        <row r="81">
          <cell r="B81" t="str">
            <v>Valley County, Idaho</v>
          </cell>
        </row>
        <row r="82">
          <cell r="B82" t="str">
            <v>Washington County, Idaho</v>
          </cell>
        </row>
        <row r="83">
          <cell r="B83" t="str">
            <v>Beaverhead County, Montana</v>
          </cell>
        </row>
        <row r="84">
          <cell r="B84" t="str">
            <v>Big Horn County, Montana</v>
          </cell>
        </row>
        <row r="85">
          <cell r="B85" t="str">
            <v>Blaine County, Montana</v>
          </cell>
        </row>
        <row r="86">
          <cell r="B86" t="str">
            <v>Broadwater County, Montana</v>
          </cell>
        </row>
        <row r="87">
          <cell r="B87" t="str">
            <v>Carbon County, Montana</v>
          </cell>
        </row>
        <row r="88">
          <cell r="B88" t="str">
            <v>Carter County, Montana</v>
          </cell>
        </row>
        <row r="89">
          <cell r="B89" t="str">
            <v>Cascade County, Montana</v>
          </cell>
        </row>
        <row r="90">
          <cell r="B90" t="str">
            <v>Chouteau County, Montana</v>
          </cell>
        </row>
        <row r="91">
          <cell r="B91" t="str">
            <v>Custer County, Montana</v>
          </cell>
        </row>
        <row r="92">
          <cell r="B92" t="str">
            <v>Daniels County, Montana</v>
          </cell>
        </row>
        <row r="93">
          <cell r="B93" t="str">
            <v>Dawson County, Montana</v>
          </cell>
        </row>
        <row r="94">
          <cell r="B94" t="str">
            <v>Deer Lodge County, Montana</v>
          </cell>
        </row>
        <row r="95">
          <cell r="B95" t="str">
            <v>Fallon County, Montana</v>
          </cell>
        </row>
        <row r="96">
          <cell r="B96" t="str">
            <v>Fergus County, Montana</v>
          </cell>
        </row>
        <row r="97">
          <cell r="B97" t="str">
            <v>Flathead County, Montana</v>
          </cell>
        </row>
        <row r="98">
          <cell r="B98" t="str">
            <v>Gallatin County, Montana</v>
          </cell>
        </row>
        <row r="99">
          <cell r="B99" t="str">
            <v>Garfield County, Montana</v>
          </cell>
        </row>
        <row r="100">
          <cell r="B100" t="str">
            <v>Glacier County, Montana</v>
          </cell>
        </row>
        <row r="101">
          <cell r="B101" t="str">
            <v>Golden Valley County, Montana</v>
          </cell>
        </row>
        <row r="102">
          <cell r="B102" t="str">
            <v>Granite County, Montana</v>
          </cell>
        </row>
        <row r="103">
          <cell r="B103" t="str">
            <v>Hill County, Montana</v>
          </cell>
        </row>
        <row r="104">
          <cell r="B104" t="str">
            <v>Jefferson County, Montana</v>
          </cell>
        </row>
        <row r="105">
          <cell r="B105" t="str">
            <v>Judith Basin County, Montana</v>
          </cell>
        </row>
        <row r="106">
          <cell r="B106" t="str">
            <v>Lake County, Montana</v>
          </cell>
        </row>
        <row r="107">
          <cell r="B107" t="str">
            <v>Lewis and Clark County, Montana</v>
          </cell>
        </row>
        <row r="108">
          <cell r="B108" t="str">
            <v>Liberty County, Montana</v>
          </cell>
        </row>
        <row r="109">
          <cell r="B109" t="str">
            <v>Lincoln County, Montana</v>
          </cell>
        </row>
        <row r="110">
          <cell r="B110" t="str">
            <v>McCone County, Montana</v>
          </cell>
        </row>
        <row r="111">
          <cell r="B111" t="str">
            <v>Madison County, Montana</v>
          </cell>
        </row>
        <row r="112">
          <cell r="B112" t="str">
            <v>Meagher County, Montana</v>
          </cell>
        </row>
        <row r="113">
          <cell r="B113" t="str">
            <v>Mineral County, Montana</v>
          </cell>
        </row>
        <row r="114">
          <cell r="B114" t="str">
            <v>Missoula County, Montana</v>
          </cell>
        </row>
        <row r="115">
          <cell r="B115" t="str">
            <v>Musselshell County, Montana</v>
          </cell>
        </row>
        <row r="116">
          <cell r="B116" t="str">
            <v>Park County, Montana</v>
          </cell>
        </row>
        <row r="117">
          <cell r="B117" t="str">
            <v>Petroleum County, Montana</v>
          </cell>
        </row>
        <row r="118">
          <cell r="B118" t="str">
            <v>Phillips County, Montana</v>
          </cell>
        </row>
        <row r="119">
          <cell r="B119" t="str">
            <v>Pondera County, Montana</v>
          </cell>
        </row>
        <row r="120">
          <cell r="B120" t="str">
            <v>Powder River County, Montana</v>
          </cell>
        </row>
        <row r="121">
          <cell r="B121" t="str">
            <v>Powell County, Montana</v>
          </cell>
        </row>
        <row r="122">
          <cell r="B122" t="str">
            <v>Prairie County, Montana</v>
          </cell>
        </row>
        <row r="123">
          <cell r="B123" t="str">
            <v>Ravalli County, Montana</v>
          </cell>
        </row>
        <row r="124">
          <cell r="B124" t="str">
            <v>Richland County, Montana</v>
          </cell>
        </row>
        <row r="125">
          <cell r="B125" t="str">
            <v>Roosevelt County, Montana</v>
          </cell>
        </row>
        <row r="126">
          <cell r="B126" t="str">
            <v>Rosebud County, Montana</v>
          </cell>
        </row>
        <row r="127">
          <cell r="B127" t="str">
            <v>Sanders County, Montana</v>
          </cell>
        </row>
        <row r="128">
          <cell r="B128" t="str">
            <v>Sheridan County, Montana</v>
          </cell>
        </row>
        <row r="129">
          <cell r="B129" t="str">
            <v>Silver Bow County, Montana</v>
          </cell>
        </row>
        <row r="130">
          <cell r="B130" t="str">
            <v>Stillwater County, Montana</v>
          </cell>
        </row>
        <row r="131">
          <cell r="B131" t="str">
            <v>Sweet Grass County, Montana</v>
          </cell>
        </row>
        <row r="132">
          <cell r="B132" t="str">
            <v>Teton County, Montana</v>
          </cell>
        </row>
        <row r="133">
          <cell r="B133" t="str">
            <v>Toole County, Montana</v>
          </cell>
        </row>
        <row r="134">
          <cell r="B134" t="str">
            <v>Treasure County, Montana</v>
          </cell>
        </row>
        <row r="135">
          <cell r="B135" t="str">
            <v>Valley County, Montana</v>
          </cell>
        </row>
        <row r="136">
          <cell r="B136" t="str">
            <v>Wheatland County, Montana</v>
          </cell>
        </row>
        <row r="137">
          <cell r="B137" t="str">
            <v>Wibaux County, Montana</v>
          </cell>
        </row>
        <row r="138">
          <cell r="B138" t="str">
            <v>Yellowstone County, Montana</v>
          </cell>
        </row>
        <row r="139">
          <cell r="B139" t="str">
            <v>Baker County, Oregon</v>
          </cell>
        </row>
        <row r="140">
          <cell r="B140" t="str">
            <v>Benton County, Oregon</v>
          </cell>
        </row>
        <row r="141">
          <cell r="B141" t="str">
            <v>Clackamas County, Oregon</v>
          </cell>
        </row>
        <row r="142">
          <cell r="B142" t="str">
            <v>Clatsop County, Oregon</v>
          </cell>
        </row>
        <row r="143">
          <cell r="B143" t="str">
            <v>Columbia County, Oregon</v>
          </cell>
        </row>
        <row r="144">
          <cell r="B144" t="str">
            <v>Coos County, Oregon</v>
          </cell>
        </row>
        <row r="145">
          <cell r="B145" t="str">
            <v>Crook County, Oregon</v>
          </cell>
        </row>
        <row r="146">
          <cell r="B146" t="str">
            <v>Curry County, Oregon</v>
          </cell>
        </row>
        <row r="147">
          <cell r="B147" t="str">
            <v>Deschutes County, Oregon</v>
          </cell>
        </row>
        <row r="148">
          <cell r="B148" t="str">
            <v>Douglas County, Oregon</v>
          </cell>
        </row>
        <row r="149">
          <cell r="B149" t="str">
            <v>Gilliam County, Oregon</v>
          </cell>
        </row>
        <row r="150">
          <cell r="B150" t="str">
            <v>Grant County, Oregon</v>
          </cell>
        </row>
        <row r="151">
          <cell r="B151" t="str">
            <v>Harney County, Oregon</v>
          </cell>
        </row>
        <row r="152">
          <cell r="B152" t="str">
            <v>Hood River County, Oregon</v>
          </cell>
        </row>
        <row r="153">
          <cell r="B153" t="str">
            <v>Jackson County, Oregon</v>
          </cell>
        </row>
        <row r="154">
          <cell r="B154" t="str">
            <v>Jefferson County, Oregon</v>
          </cell>
        </row>
        <row r="155">
          <cell r="B155" t="str">
            <v>Josephine County, Oregon</v>
          </cell>
        </row>
        <row r="156">
          <cell r="B156" t="str">
            <v>Klamath County, Oregon</v>
          </cell>
        </row>
        <row r="157">
          <cell r="B157" t="str">
            <v>Lake County, Oregon</v>
          </cell>
        </row>
        <row r="158">
          <cell r="B158" t="str">
            <v>Lane County, Oregon</v>
          </cell>
        </row>
        <row r="159">
          <cell r="B159" t="str">
            <v>Lincoln County, Oregon</v>
          </cell>
        </row>
        <row r="160">
          <cell r="B160" t="str">
            <v>Linn County, Oregon</v>
          </cell>
        </row>
        <row r="161">
          <cell r="B161" t="str">
            <v>Malheur County, Oregon</v>
          </cell>
        </row>
        <row r="162">
          <cell r="B162" t="str">
            <v>Marion County, Oregon</v>
          </cell>
        </row>
        <row r="163">
          <cell r="B163" t="str">
            <v>Morrow County, Oregon</v>
          </cell>
        </row>
        <row r="164">
          <cell r="B164" t="str">
            <v>Multnomah County, Oregon</v>
          </cell>
        </row>
        <row r="165">
          <cell r="B165" t="str">
            <v>Polk County, Oregon</v>
          </cell>
        </row>
        <row r="166">
          <cell r="B166" t="str">
            <v>Sherman County, Oregon</v>
          </cell>
        </row>
        <row r="167">
          <cell r="B167" t="str">
            <v>Tillamook County, Oregon</v>
          </cell>
        </row>
        <row r="168">
          <cell r="B168" t="str">
            <v>Umatilla County, Oregon</v>
          </cell>
        </row>
        <row r="169">
          <cell r="B169" t="str">
            <v>Union County, Oregon</v>
          </cell>
        </row>
        <row r="170">
          <cell r="B170" t="str">
            <v>Wallowa County, Oregon</v>
          </cell>
        </row>
        <row r="171">
          <cell r="B171" t="str">
            <v>Wasco County, Oregon</v>
          </cell>
        </row>
        <row r="172">
          <cell r="B172" t="str">
            <v>Washington County, Oregon</v>
          </cell>
        </row>
        <row r="173">
          <cell r="B173" t="str">
            <v>Wheeler County, Oregon</v>
          </cell>
        </row>
        <row r="174">
          <cell r="B174" t="str">
            <v>Yamhill County, Oregon</v>
          </cell>
        </row>
        <row r="175">
          <cell r="B175" t="str">
            <v>Beaver County, Utah</v>
          </cell>
        </row>
        <row r="176">
          <cell r="B176" t="str">
            <v>Box Elder County, Utah</v>
          </cell>
        </row>
        <row r="177">
          <cell r="B177" t="str">
            <v>Cache County, Utah</v>
          </cell>
        </row>
        <row r="178">
          <cell r="B178" t="str">
            <v>Carbon County, Utah</v>
          </cell>
        </row>
        <row r="179">
          <cell r="B179" t="str">
            <v>Daggett County, Utah</v>
          </cell>
        </row>
        <row r="180">
          <cell r="B180" t="str">
            <v>Davis County, Utah</v>
          </cell>
        </row>
        <row r="181">
          <cell r="B181" t="str">
            <v>Duchesne County, Utah</v>
          </cell>
        </row>
        <row r="182">
          <cell r="B182" t="str">
            <v>Emery County, Utah</v>
          </cell>
        </row>
        <row r="183">
          <cell r="B183" t="str">
            <v>Garfield County, Utah</v>
          </cell>
        </row>
        <row r="184">
          <cell r="B184" t="str">
            <v>Grand County, Utah</v>
          </cell>
        </row>
        <row r="185">
          <cell r="B185" t="str">
            <v>Iron County, Utah</v>
          </cell>
        </row>
        <row r="186">
          <cell r="B186" t="str">
            <v>Juab County, Utah</v>
          </cell>
        </row>
        <row r="187">
          <cell r="B187" t="str">
            <v>Kane County, Utah</v>
          </cell>
        </row>
        <row r="188">
          <cell r="B188" t="str">
            <v>Millard County, Utah</v>
          </cell>
        </row>
        <row r="189">
          <cell r="B189" t="str">
            <v>Morgan County, Utah</v>
          </cell>
        </row>
        <row r="190">
          <cell r="B190" t="str">
            <v>Piute County, Utah</v>
          </cell>
        </row>
        <row r="191">
          <cell r="B191" t="str">
            <v>Rich County, Utah</v>
          </cell>
        </row>
        <row r="192">
          <cell r="B192" t="str">
            <v>Salt Lake County, Utah</v>
          </cell>
        </row>
        <row r="193">
          <cell r="B193" t="str">
            <v>San Juan County, Utah</v>
          </cell>
        </row>
        <row r="194">
          <cell r="B194" t="str">
            <v>Sanpete County, Utah</v>
          </cell>
        </row>
        <row r="195">
          <cell r="B195" t="str">
            <v>Sevier County, Utah</v>
          </cell>
        </row>
        <row r="196">
          <cell r="B196" t="str">
            <v>Summit County, Utah</v>
          </cell>
        </row>
        <row r="197">
          <cell r="B197" t="str">
            <v>Tooele County, Utah</v>
          </cell>
        </row>
        <row r="198">
          <cell r="B198" t="str">
            <v>Uintah County, Utah</v>
          </cell>
        </row>
        <row r="199">
          <cell r="B199" t="str">
            <v>Utah County, Utah</v>
          </cell>
        </row>
        <row r="200">
          <cell r="B200" t="str">
            <v>Wasatch County, Utah</v>
          </cell>
        </row>
        <row r="201">
          <cell r="B201" t="str">
            <v>Washington County, Utah</v>
          </cell>
        </row>
        <row r="202">
          <cell r="B202" t="str">
            <v>Wayne County, Utah</v>
          </cell>
        </row>
        <row r="203">
          <cell r="B203" t="str">
            <v>Weber County, Utah</v>
          </cell>
        </row>
        <row r="204">
          <cell r="B204" t="str">
            <v>Adams County, Washington</v>
          </cell>
        </row>
        <row r="205">
          <cell r="B205" t="str">
            <v>Asotin County, Washington</v>
          </cell>
        </row>
        <row r="206">
          <cell r="B206" t="str">
            <v>Benton County, Washington</v>
          </cell>
        </row>
        <row r="207">
          <cell r="B207" t="str">
            <v>Chelan County, Washington</v>
          </cell>
        </row>
        <row r="208">
          <cell r="B208" t="str">
            <v>Clallam County, Washington</v>
          </cell>
        </row>
        <row r="209">
          <cell r="B209" t="str">
            <v>Clark County, Washington</v>
          </cell>
        </row>
        <row r="210">
          <cell r="B210" t="str">
            <v>Columbia County, Washington</v>
          </cell>
        </row>
        <row r="211">
          <cell r="B211" t="str">
            <v>Cowlitz County, Washington</v>
          </cell>
        </row>
        <row r="212">
          <cell r="B212" t="str">
            <v>Douglas County, Washington</v>
          </cell>
        </row>
        <row r="213">
          <cell r="B213" t="str">
            <v>Ferry County, Washington</v>
          </cell>
        </row>
        <row r="214">
          <cell r="B214" t="str">
            <v>Franklin County, Washington</v>
          </cell>
        </row>
        <row r="215">
          <cell r="B215" t="str">
            <v>Garfield County, Washington</v>
          </cell>
        </row>
        <row r="216">
          <cell r="B216" t="str">
            <v>Grant County, Washington</v>
          </cell>
        </row>
        <row r="217">
          <cell r="B217" t="str">
            <v>Grays Harbor County, Washington</v>
          </cell>
        </row>
        <row r="218">
          <cell r="B218" t="str">
            <v>Island County, Washington</v>
          </cell>
        </row>
        <row r="219">
          <cell r="B219" t="str">
            <v>Jefferson County, Washington</v>
          </cell>
        </row>
        <row r="220">
          <cell r="B220" t="str">
            <v>King County, Washington</v>
          </cell>
        </row>
        <row r="221">
          <cell r="B221" t="str">
            <v>Kitsap County, Washington</v>
          </cell>
        </row>
        <row r="222">
          <cell r="B222" t="str">
            <v>Kittitas County, Washington</v>
          </cell>
        </row>
        <row r="223">
          <cell r="B223" t="str">
            <v>Klickitat County, Washington</v>
          </cell>
        </row>
        <row r="224">
          <cell r="B224" t="str">
            <v>Lewis County, Washington</v>
          </cell>
        </row>
        <row r="225">
          <cell r="B225" t="str">
            <v>Lincoln County, Washington</v>
          </cell>
        </row>
        <row r="226">
          <cell r="B226" t="str">
            <v>Mason County, Washington</v>
          </cell>
        </row>
        <row r="227">
          <cell r="B227" t="str">
            <v>Okanogan County, Washington</v>
          </cell>
        </row>
        <row r="228">
          <cell r="B228" t="str">
            <v>Pacific County, Washington</v>
          </cell>
        </row>
        <row r="229">
          <cell r="B229" t="str">
            <v>Pend Oreille County, Washington</v>
          </cell>
        </row>
        <row r="230">
          <cell r="B230" t="str">
            <v>Pierce County, Washington</v>
          </cell>
        </row>
        <row r="231">
          <cell r="B231" t="str">
            <v>San Juan County, Washington</v>
          </cell>
        </row>
        <row r="232">
          <cell r="B232" t="str">
            <v>Skagit County, Washington</v>
          </cell>
        </row>
        <row r="233">
          <cell r="B233" t="str">
            <v>Skamania County, Washington</v>
          </cell>
        </row>
        <row r="234">
          <cell r="B234" t="str">
            <v>Snohomish County, Washington</v>
          </cell>
        </row>
        <row r="235">
          <cell r="B235" t="str">
            <v>Spokane County, Washington</v>
          </cell>
        </row>
        <row r="236">
          <cell r="B236" t="str">
            <v>Stevens County, Washington</v>
          </cell>
        </row>
        <row r="237">
          <cell r="B237" t="str">
            <v>Thurston County, Washington</v>
          </cell>
        </row>
        <row r="238">
          <cell r="B238" t="str">
            <v>Wahkiakum County, Washington</v>
          </cell>
        </row>
        <row r="239">
          <cell r="B239" t="str">
            <v>Walla Walla County, Washington</v>
          </cell>
        </row>
        <row r="240">
          <cell r="B240" t="str">
            <v>Whatcom County, Washington</v>
          </cell>
        </row>
        <row r="241">
          <cell r="B241" t="str">
            <v>Whitman County, Washington</v>
          </cell>
        </row>
        <row r="242">
          <cell r="B242" t="str">
            <v>Yakima County, Washington</v>
          </cell>
        </row>
        <row r="243">
          <cell r="B243" t="str">
            <v>Albany County, Wyoming</v>
          </cell>
        </row>
        <row r="244">
          <cell r="B244" t="str">
            <v>Big Horn County, Wyoming</v>
          </cell>
        </row>
        <row r="245">
          <cell r="B245" t="str">
            <v>Campbell County, Wyoming</v>
          </cell>
        </row>
        <row r="246">
          <cell r="B246" t="str">
            <v>Carbon County, Wyoming</v>
          </cell>
        </row>
        <row r="247">
          <cell r="B247" t="str">
            <v>Converse County, Wyoming</v>
          </cell>
        </row>
        <row r="248">
          <cell r="B248" t="str">
            <v>Crook County, Wyoming</v>
          </cell>
        </row>
        <row r="249">
          <cell r="B249" t="str">
            <v>Fremont County, Wyoming</v>
          </cell>
        </row>
        <row r="250">
          <cell r="B250" t="str">
            <v>Goshen County, Wyoming</v>
          </cell>
        </row>
        <row r="251">
          <cell r="B251" t="str">
            <v>Hot Springs County, Wyoming</v>
          </cell>
        </row>
        <row r="252">
          <cell r="B252" t="str">
            <v>Johnson County, Wyoming</v>
          </cell>
        </row>
        <row r="253">
          <cell r="B253" t="str">
            <v>Laramie County, Wyoming</v>
          </cell>
        </row>
        <row r="254">
          <cell r="B254" t="str">
            <v>Lincoln County, Wyoming</v>
          </cell>
        </row>
        <row r="255">
          <cell r="B255" t="str">
            <v>Natrona County, Wyoming</v>
          </cell>
        </row>
        <row r="256">
          <cell r="B256" t="str">
            <v>Niobrara County, Wyoming</v>
          </cell>
        </row>
        <row r="257">
          <cell r="B257" t="str">
            <v>Park County, Wyoming</v>
          </cell>
        </row>
        <row r="258">
          <cell r="B258" t="str">
            <v>Platte County, Wyoming</v>
          </cell>
        </row>
        <row r="259">
          <cell r="B259" t="str">
            <v>Sheridan County, Wyoming</v>
          </cell>
        </row>
        <row r="260">
          <cell r="B260" t="str">
            <v>Sublette County, Wyoming</v>
          </cell>
        </row>
        <row r="261">
          <cell r="B261" t="str">
            <v>Sweetwater County, Wyoming</v>
          </cell>
        </row>
        <row r="262">
          <cell r="B262" t="str">
            <v>Teton County, Wyoming</v>
          </cell>
        </row>
        <row r="263">
          <cell r="B263" t="str">
            <v>Uinta County, Wyoming</v>
          </cell>
        </row>
        <row r="264">
          <cell r="B264" t="str">
            <v>Washakie County, Wyoming</v>
          </cell>
        </row>
        <row r="265">
          <cell r="B265" t="str">
            <v>Weston County, Wyoming</v>
          </cell>
        </row>
        <row r="266">
          <cell r="B266" t="str">
            <v>, NAHASDA</v>
          </cell>
        </row>
        <row r="267">
          <cell r="B267">
            <v>0</v>
          </cell>
        </row>
        <row r="268">
          <cell r="B268">
            <v>0</v>
          </cell>
        </row>
        <row r="269">
          <cell r="B269">
            <v>0</v>
          </cell>
        </row>
        <row r="270">
          <cell r="B270">
            <v>0</v>
          </cell>
        </row>
        <row r="271">
          <cell r="B271">
            <v>0</v>
          </cell>
        </row>
        <row r="272">
          <cell r="B272">
            <v>0</v>
          </cell>
        </row>
        <row r="273">
          <cell r="B273">
            <v>0</v>
          </cell>
        </row>
        <row r="274">
          <cell r="B274">
            <v>0</v>
          </cell>
        </row>
        <row r="275">
          <cell r="B275">
            <v>0</v>
          </cell>
        </row>
        <row r="276">
          <cell r="B276">
            <v>0</v>
          </cell>
        </row>
        <row r="277">
          <cell r="B277">
            <v>0</v>
          </cell>
        </row>
        <row r="278">
          <cell r="B278">
            <v>0</v>
          </cell>
        </row>
        <row r="279">
          <cell r="B279">
            <v>0</v>
          </cell>
        </row>
        <row r="280">
          <cell r="B280">
            <v>0</v>
          </cell>
        </row>
        <row r="281">
          <cell r="B281">
            <v>0</v>
          </cell>
        </row>
        <row r="282">
          <cell r="B282">
            <v>0</v>
          </cell>
        </row>
        <row r="283">
          <cell r="B283">
            <v>0</v>
          </cell>
        </row>
        <row r="284">
          <cell r="B284">
            <v>0</v>
          </cell>
        </row>
        <row r="285">
          <cell r="B285">
            <v>0</v>
          </cell>
        </row>
        <row r="286">
          <cell r="B286">
            <v>0</v>
          </cell>
        </row>
        <row r="287">
          <cell r="B287">
            <v>0</v>
          </cell>
        </row>
        <row r="288">
          <cell r="B288">
            <v>0</v>
          </cell>
        </row>
        <row r="289">
          <cell r="B289">
            <v>0</v>
          </cell>
        </row>
        <row r="290">
          <cell r="B290">
            <v>0</v>
          </cell>
        </row>
        <row r="291">
          <cell r="B291">
            <v>0</v>
          </cell>
        </row>
        <row r="292">
          <cell r="B292">
            <v>0</v>
          </cell>
        </row>
        <row r="293">
          <cell r="B293">
            <v>0</v>
          </cell>
        </row>
        <row r="294">
          <cell r="B294">
            <v>0</v>
          </cell>
        </row>
        <row r="295">
          <cell r="B295">
            <v>0</v>
          </cell>
        </row>
        <row r="296">
          <cell r="B296">
            <v>0</v>
          </cell>
        </row>
        <row r="297">
          <cell r="B297">
            <v>0</v>
          </cell>
        </row>
        <row r="298">
          <cell r="B298">
            <v>0</v>
          </cell>
        </row>
        <row r="299">
          <cell r="B299">
            <v>0</v>
          </cell>
        </row>
        <row r="300">
          <cell r="B300">
            <v>0</v>
          </cell>
        </row>
        <row r="301">
          <cell r="B301">
            <v>0</v>
          </cell>
        </row>
        <row r="302">
          <cell r="B302">
            <v>0</v>
          </cell>
        </row>
        <row r="303">
          <cell r="B303">
            <v>0</v>
          </cell>
        </row>
        <row r="304">
          <cell r="B304">
            <v>0</v>
          </cell>
        </row>
        <row r="305">
          <cell r="B305">
            <v>0</v>
          </cell>
        </row>
        <row r="306">
          <cell r="B306">
            <v>0</v>
          </cell>
        </row>
        <row r="307">
          <cell r="B307">
            <v>0</v>
          </cell>
        </row>
        <row r="308">
          <cell r="B308">
            <v>0</v>
          </cell>
        </row>
        <row r="309">
          <cell r="B309">
            <v>0</v>
          </cell>
        </row>
        <row r="310">
          <cell r="B310">
            <v>0</v>
          </cell>
        </row>
        <row r="311">
          <cell r="B311">
            <v>0</v>
          </cell>
        </row>
        <row r="312">
          <cell r="B312">
            <v>0</v>
          </cell>
        </row>
        <row r="313">
          <cell r="B313">
            <v>0</v>
          </cell>
        </row>
        <row r="314">
          <cell r="B314">
            <v>0</v>
          </cell>
        </row>
        <row r="315">
          <cell r="B315">
            <v>0</v>
          </cell>
        </row>
        <row r="316">
          <cell r="B316">
            <v>0</v>
          </cell>
        </row>
        <row r="317">
          <cell r="B317">
            <v>0</v>
          </cell>
        </row>
        <row r="318">
          <cell r="B318">
            <v>0</v>
          </cell>
        </row>
        <row r="319">
          <cell r="B319">
            <v>0</v>
          </cell>
        </row>
        <row r="320">
          <cell r="B320">
            <v>0</v>
          </cell>
        </row>
        <row r="321">
          <cell r="B321">
            <v>0</v>
          </cell>
        </row>
        <row r="322">
          <cell r="B322">
            <v>0</v>
          </cell>
        </row>
        <row r="323">
          <cell r="B323">
            <v>0</v>
          </cell>
        </row>
        <row r="324">
          <cell r="B324">
            <v>0</v>
          </cell>
        </row>
        <row r="325">
          <cell r="B325">
            <v>0</v>
          </cell>
        </row>
        <row r="326">
          <cell r="B326">
            <v>0</v>
          </cell>
        </row>
        <row r="327">
          <cell r="B327">
            <v>0</v>
          </cell>
        </row>
        <row r="328">
          <cell r="B328">
            <v>0</v>
          </cell>
        </row>
        <row r="329">
          <cell r="B329">
            <v>0</v>
          </cell>
        </row>
        <row r="330">
          <cell r="B330">
            <v>0</v>
          </cell>
        </row>
        <row r="331">
          <cell r="B331">
            <v>0</v>
          </cell>
        </row>
        <row r="332">
          <cell r="B332">
            <v>0</v>
          </cell>
        </row>
        <row r="333">
          <cell r="B333">
            <v>0</v>
          </cell>
        </row>
        <row r="334">
          <cell r="B334">
            <v>0</v>
          </cell>
        </row>
        <row r="335">
          <cell r="B335">
            <v>0</v>
          </cell>
        </row>
        <row r="336">
          <cell r="B336">
            <v>0</v>
          </cell>
        </row>
        <row r="337">
          <cell r="B337">
            <v>0</v>
          </cell>
        </row>
        <row r="338">
          <cell r="B338">
            <v>0</v>
          </cell>
        </row>
        <row r="339">
          <cell r="B339">
            <v>0</v>
          </cell>
        </row>
        <row r="340">
          <cell r="B340">
            <v>0</v>
          </cell>
        </row>
        <row r="341">
          <cell r="B341">
            <v>0</v>
          </cell>
        </row>
        <row r="342">
          <cell r="B342">
            <v>0</v>
          </cell>
        </row>
        <row r="343">
          <cell r="B343">
            <v>0</v>
          </cell>
        </row>
        <row r="344">
          <cell r="B344">
            <v>0</v>
          </cell>
        </row>
        <row r="345">
          <cell r="B345">
            <v>0</v>
          </cell>
        </row>
        <row r="346">
          <cell r="B346">
            <v>0</v>
          </cell>
        </row>
        <row r="347">
          <cell r="B347">
            <v>0</v>
          </cell>
        </row>
        <row r="348">
          <cell r="B348">
            <v>0</v>
          </cell>
        </row>
        <row r="349">
          <cell r="B349">
            <v>0</v>
          </cell>
        </row>
        <row r="350">
          <cell r="B350">
            <v>0</v>
          </cell>
        </row>
        <row r="351">
          <cell r="B351">
            <v>0</v>
          </cell>
        </row>
        <row r="352">
          <cell r="B352">
            <v>0</v>
          </cell>
        </row>
        <row r="353">
          <cell r="B353">
            <v>0</v>
          </cell>
        </row>
        <row r="354">
          <cell r="B354">
            <v>0</v>
          </cell>
        </row>
        <row r="355">
          <cell r="B355">
            <v>0</v>
          </cell>
        </row>
        <row r="356">
          <cell r="B356">
            <v>0</v>
          </cell>
        </row>
        <row r="357">
          <cell r="B357">
            <v>0</v>
          </cell>
        </row>
        <row r="358">
          <cell r="B358">
            <v>0</v>
          </cell>
        </row>
        <row r="359">
          <cell r="B359">
            <v>0</v>
          </cell>
        </row>
        <row r="360">
          <cell r="B360">
            <v>0</v>
          </cell>
        </row>
        <row r="361">
          <cell r="B361">
            <v>0</v>
          </cell>
        </row>
        <row r="362">
          <cell r="B362">
            <v>0</v>
          </cell>
        </row>
        <row r="363">
          <cell r="B363">
            <v>0</v>
          </cell>
        </row>
        <row r="364">
          <cell r="B364">
            <v>0</v>
          </cell>
        </row>
        <row r="365">
          <cell r="B365">
            <v>0</v>
          </cell>
        </row>
        <row r="366">
          <cell r="B366">
            <v>0</v>
          </cell>
        </row>
        <row r="367">
          <cell r="B367">
            <v>0</v>
          </cell>
        </row>
        <row r="368">
          <cell r="B368">
            <v>0</v>
          </cell>
        </row>
        <row r="369">
          <cell r="B369">
            <v>0</v>
          </cell>
        </row>
        <row r="370">
          <cell r="B370">
            <v>0</v>
          </cell>
        </row>
        <row r="371">
          <cell r="B371">
            <v>0</v>
          </cell>
        </row>
        <row r="372">
          <cell r="B372">
            <v>0</v>
          </cell>
        </row>
        <row r="373">
          <cell r="B373">
            <v>0</v>
          </cell>
        </row>
        <row r="374">
          <cell r="B374">
            <v>0</v>
          </cell>
        </row>
        <row r="375">
          <cell r="B375">
            <v>0</v>
          </cell>
        </row>
        <row r="376">
          <cell r="B376">
            <v>0</v>
          </cell>
        </row>
        <row r="377">
          <cell r="B377">
            <v>0</v>
          </cell>
        </row>
        <row r="378">
          <cell r="B378">
            <v>0</v>
          </cell>
        </row>
        <row r="379">
          <cell r="B379">
            <v>0</v>
          </cell>
        </row>
        <row r="380">
          <cell r="B380">
            <v>0</v>
          </cell>
        </row>
        <row r="381">
          <cell r="B381">
            <v>0</v>
          </cell>
        </row>
        <row r="382">
          <cell r="B382">
            <v>0</v>
          </cell>
        </row>
        <row r="383">
          <cell r="B383">
            <v>0</v>
          </cell>
        </row>
        <row r="384">
          <cell r="B384">
            <v>0</v>
          </cell>
        </row>
        <row r="385">
          <cell r="B385">
            <v>0</v>
          </cell>
        </row>
        <row r="386">
          <cell r="B386">
            <v>0</v>
          </cell>
        </row>
        <row r="387">
          <cell r="B387">
            <v>0</v>
          </cell>
        </row>
        <row r="388">
          <cell r="B388">
            <v>0</v>
          </cell>
        </row>
        <row r="389">
          <cell r="B389">
            <v>0</v>
          </cell>
        </row>
        <row r="390">
          <cell r="B390">
            <v>0</v>
          </cell>
        </row>
        <row r="391">
          <cell r="B391">
            <v>0</v>
          </cell>
        </row>
        <row r="392">
          <cell r="B392">
            <v>0</v>
          </cell>
        </row>
        <row r="393">
          <cell r="B393">
            <v>0</v>
          </cell>
        </row>
        <row r="394">
          <cell r="B394">
            <v>0</v>
          </cell>
        </row>
        <row r="395">
          <cell r="B395">
            <v>0</v>
          </cell>
        </row>
        <row r="396">
          <cell r="B396">
            <v>0</v>
          </cell>
        </row>
        <row r="397">
          <cell r="B397">
            <v>0</v>
          </cell>
        </row>
        <row r="398">
          <cell r="B398">
            <v>0</v>
          </cell>
        </row>
        <row r="399">
          <cell r="B399">
            <v>0</v>
          </cell>
        </row>
        <row r="400">
          <cell r="B400">
            <v>0</v>
          </cell>
        </row>
        <row r="401">
          <cell r="B401">
            <v>0</v>
          </cell>
        </row>
        <row r="402">
          <cell r="B402">
            <v>0</v>
          </cell>
        </row>
        <row r="403">
          <cell r="B403">
            <v>0</v>
          </cell>
        </row>
        <row r="404">
          <cell r="B404">
            <v>0</v>
          </cell>
        </row>
        <row r="405">
          <cell r="B405">
            <v>0</v>
          </cell>
        </row>
        <row r="406">
          <cell r="B406">
            <v>0</v>
          </cell>
        </row>
        <row r="407">
          <cell r="B407">
            <v>0</v>
          </cell>
        </row>
        <row r="408">
          <cell r="B408">
            <v>0</v>
          </cell>
        </row>
        <row r="409">
          <cell r="B409">
            <v>0</v>
          </cell>
        </row>
        <row r="410">
          <cell r="B410">
            <v>0</v>
          </cell>
        </row>
        <row r="411">
          <cell r="B411">
            <v>0</v>
          </cell>
        </row>
        <row r="412">
          <cell r="B412">
            <v>0</v>
          </cell>
        </row>
        <row r="413">
          <cell r="B413">
            <v>0</v>
          </cell>
        </row>
        <row r="414">
          <cell r="B414">
            <v>0</v>
          </cell>
        </row>
        <row r="415">
          <cell r="B415">
            <v>0</v>
          </cell>
        </row>
        <row r="416">
          <cell r="B416">
            <v>0</v>
          </cell>
        </row>
        <row r="417">
          <cell r="B417">
            <v>0</v>
          </cell>
        </row>
        <row r="418">
          <cell r="B418">
            <v>0</v>
          </cell>
        </row>
        <row r="419">
          <cell r="B419">
            <v>0</v>
          </cell>
        </row>
        <row r="420">
          <cell r="B420">
            <v>0</v>
          </cell>
        </row>
        <row r="421">
          <cell r="B421">
            <v>0</v>
          </cell>
        </row>
        <row r="422">
          <cell r="B422">
            <v>0</v>
          </cell>
        </row>
        <row r="423">
          <cell r="B423">
            <v>0</v>
          </cell>
        </row>
        <row r="424">
          <cell r="B424">
            <v>0</v>
          </cell>
        </row>
        <row r="425">
          <cell r="B425">
            <v>0</v>
          </cell>
        </row>
        <row r="426">
          <cell r="B426">
            <v>0</v>
          </cell>
        </row>
        <row r="427">
          <cell r="B427">
            <v>0</v>
          </cell>
        </row>
        <row r="428">
          <cell r="B428">
            <v>0</v>
          </cell>
        </row>
        <row r="429">
          <cell r="B429">
            <v>0</v>
          </cell>
        </row>
        <row r="430">
          <cell r="B430">
            <v>0</v>
          </cell>
        </row>
        <row r="431">
          <cell r="B431">
            <v>0</v>
          </cell>
        </row>
        <row r="432">
          <cell r="B432">
            <v>0</v>
          </cell>
        </row>
        <row r="433">
          <cell r="B433">
            <v>0</v>
          </cell>
        </row>
        <row r="434">
          <cell r="B434">
            <v>0</v>
          </cell>
        </row>
        <row r="435">
          <cell r="B435">
            <v>0</v>
          </cell>
        </row>
        <row r="436">
          <cell r="B436">
            <v>0</v>
          </cell>
        </row>
        <row r="437">
          <cell r="B437">
            <v>0</v>
          </cell>
        </row>
        <row r="438">
          <cell r="B438">
            <v>0</v>
          </cell>
        </row>
        <row r="439">
          <cell r="B439">
            <v>0</v>
          </cell>
        </row>
        <row r="440">
          <cell r="B440">
            <v>0</v>
          </cell>
        </row>
        <row r="441">
          <cell r="B441">
            <v>0</v>
          </cell>
        </row>
        <row r="442">
          <cell r="B442">
            <v>0</v>
          </cell>
        </row>
        <row r="443">
          <cell r="B443">
            <v>0</v>
          </cell>
        </row>
        <row r="444">
          <cell r="B444">
            <v>0</v>
          </cell>
        </row>
        <row r="445">
          <cell r="B445">
            <v>0</v>
          </cell>
        </row>
        <row r="446">
          <cell r="B446">
            <v>0</v>
          </cell>
        </row>
        <row r="447">
          <cell r="B447">
            <v>0</v>
          </cell>
        </row>
        <row r="448">
          <cell r="B448">
            <v>0</v>
          </cell>
        </row>
        <row r="449">
          <cell r="B449">
            <v>0</v>
          </cell>
        </row>
        <row r="450">
          <cell r="B450">
            <v>0</v>
          </cell>
        </row>
        <row r="451">
          <cell r="B451">
            <v>0</v>
          </cell>
        </row>
        <row r="452">
          <cell r="B452">
            <v>0</v>
          </cell>
        </row>
        <row r="453">
          <cell r="B453">
            <v>0</v>
          </cell>
        </row>
        <row r="454">
          <cell r="B454">
            <v>0</v>
          </cell>
        </row>
        <row r="455">
          <cell r="B455">
            <v>0</v>
          </cell>
        </row>
        <row r="456">
          <cell r="B456">
            <v>0</v>
          </cell>
        </row>
        <row r="457">
          <cell r="B457">
            <v>0</v>
          </cell>
        </row>
        <row r="458">
          <cell r="B458">
            <v>0</v>
          </cell>
        </row>
        <row r="459">
          <cell r="B459">
            <v>0</v>
          </cell>
        </row>
        <row r="460">
          <cell r="B460">
            <v>0</v>
          </cell>
        </row>
        <row r="461">
          <cell r="B461">
            <v>0</v>
          </cell>
        </row>
        <row r="462">
          <cell r="B462">
            <v>0</v>
          </cell>
        </row>
        <row r="463">
          <cell r="B463">
            <v>0</v>
          </cell>
        </row>
        <row r="464">
          <cell r="B464">
            <v>0</v>
          </cell>
        </row>
        <row r="465">
          <cell r="B465">
            <v>0</v>
          </cell>
        </row>
        <row r="466">
          <cell r="B466">
            <v>0</v>
          </cell>
        </row>
        <row r="467">
          <cell r="B467">
            <v>0</v>
          </cell>
        </row>
        <row r="468">
          <cell r="B468">
            <v>0</v>
          </cell>
        </row>
        <row r="469">
          <cell r="B469">
            <v>0</v>
          </cell>
        </row>
        <row r="470">
          <cell r="B470">
            <v>0</v>
          </cell>
        </row>
        <row r="471">
          <cell r="B471">
            <v>0</v>
          </cell>
        </row>
        <row r="472">
          <cell r="B472">
            <v>0</v>
          </cell>
        </row>
        <row r="473">
          <cell r="B473">
            <v>0</v>
          </cell>
        </row>
        <row r="474">
          <cell r="B474">
            <v>0</v>
          </cell>
        </row>
        <row r="475">
          <cell r="B475">
            <v>0</v>
          </cell>
        </row>
        <row r="476">
          <cell r="B476">
            <v>0</v>
          </cell>
        </row>
        <row r="477">
          <cell r="B477">
            <v>0</v>
          </cell>
        </row>
        <row r="478">
          <cell r="B478">
            <v>0</v>
          </cell>
        </row>
        <row r="479">
          <cell r="B479">
            <v>0</v>
          </cell>
        </row>
        <row r="480">
          <cell r="B480">
            <v>0</v>
          </cell>
        </row>
        <row r="481">
          <cell r="B481">
            <v>0</v>
          </cell>
        </row>
        <row r="482">
          <cell r="B482">
            <v>0</v>
          </cell>
        </row>
        <row r="483">
          <cell r="B483">
            <v>0</v>
          </cell>
        </row>
        <row r="484">
          <cell r="B484">
            <v>0</v>
          </cell>
        </row>
        <row r="485">
          <cell r="B485">
            <v>0</v>
          </cell>
        </row>
        <row r="486">
          <cell r="B486">
            <v>0</v>
          </cell>
        </row>
        <row r="487">
          <cell r="B487">
            <v>0</v>
          </cell>
        </row>
        <row r="488">
          <cell r="B488">
            <v>0</v>
          </cell>
        </row>
        <row r="489">
          <cell r="B489">
            <v>0</v>
          </cell>
        </row>
        <row r="490">
          <cell r="B490">
            <v>0</v>
          </cell>
        </row>
        <row r="491">
          <cell r="B491">
            <v>0</v>
          </cell>
        </row>
        <row r="492">
          <cell r="B492">
            <v>0</v>
          </cell>
        </row>
        <row r="493">
          <cell r="B493">
            <v>0</v>
          </cell>
        </row>
        <row r="494">
          <cell r="B494">
            <v>0</v>
          </cell>
        </row>
        <row r="495">
          <cell r="B495">
            <v>0</v>
          </cell>
        </row>
        <row r="496">
          <cell r="B496">
            <v>0</v>
          </cell>
        </row>
        <row r="497">
          <cell r="B497">
            <v>0</v>
          </cell>
        </row>
        <row r="498">
          <cell r="B498">
            <v>0</v>
          </cell>
        </row>
        <row r="499">
          <cell r="B499">
            <v>0</v>
          </cell>
        </row>
        <row r="500">
          <cell r="B500">
            <v>0</v>
          </cell>
        </row>
        <row r="501">
          <cell r="B501">
            <v>0</v>
          </cell>
        </row>
        <row r="502">
          <cell r="B502">
            <v>0</v>
          </cell>
        </row>
        <row r="503">
          <cell r="B503">
            <v>0</v>
          </cell>
        </row>
        <row r="504">
          <cell r="B504">
            <v>0</v>
          </cell>
        </row>
        <row r="505">
          <cell r="B505">
            <v>0</v>
          </cell>
        </row>
        <row r="506">
          <cell r="B506">
            <v>0</v>
          </cell>
        </row>
        <row r="507">
          <cell r="B507">
            <v>0</v>
          </cell>
        </row>
        <row r="508">
          <cell r="B508">
            <v>0</v>
          </cell>
        </row>
        <row r="509">
          <cell r="B509">
            <v>0</v>
          </cell>
        </row>
        <row r="510">
          <cell r="B510">
            <v>0</v>
          </cell>
        </row>
        <row r="511">
          <cell r="B511">
            <v>0</v>
          </cell>
        </row>
        <row r="512">
          <cell r="B512">
            <v>0</v>
          </cell>
        </row>
        <row r="513">
          <cell r="B513">
            <v>0</v>
          </cell>
        </row>
        <row r="514">
          <cell r="B514">
            <v>0</v>
          </cell>
        </row>
        <row r="515">
          <cell r="B515">
            <v>0</v>
          </cell>
        </row>
        <row r="516">
          <cell r="B516">
            <v>0</v>
          </cell>
        </row>
        <row r="517">
          <cell r="B517">
            <v>0</v>
          </cell>
        </row>
        <row r="518">
          <cell r="B518">
            <v>0</v>
          </cell>
        </row>
        <row r="519">
          <cell r="B519">
            <v>0</v>
          </cell>
        </row>
        <row r="520">
          <cell r="B520">
            <v>0</v>
          </cell>
        </row>
        <row r="521">
          <cell r="B521">
            <v>0</v>
          </cell>
        </row>
        <row r="522">
          <cell r="B522">
            <v>0</v>
          </cell>
        </row>
        <row r="523">
          <cell r="B523">
            <v>0</v>
          </cell>
        </row>
        <row r="524">
          <cell r="B524">
            <v>0</v>
          </cell>
        </row>
        <row r="525">
          <cell r="B525">
            <v>0</v>
          </cell>
        </row>
        <row r="526">
          <cell r="B526">
            <v>0</v>
          </cell>
        </row>
        <row r="527">
          <cell r="B527">
            <v>0</v>
          </cell>
        </row>
        <row r="528">
          <cell r="B528">
            <v>0</v>
          </cell>
        </row>
        <row r="529">
          <cell r="B529">
            <v>0</v>
          </cell>
        </row>
        <row r="530">
          <cell r="B530">
            <v>0</v>
          </cell>
        </row>
        <row r="531">
          <cell r="B531">
            <v>0</v>
          </cell>
        </row>
        <row r="532">
          <cell r="B532">
            <v>0</v>
          </cell>
        </row>
        <row r="533">
          <cell r="B533">
            <v>0</v>
          </cell>
        </row>
        <row r="534">
          <cell r="B534">
            <v>0</v>
          </cell>
        </row>
        <row r="535">
          <cell r="B535">
            <v>0</v>
          </cell>
        </row>
        <row r="536">
          <cell r="B536">
            <v>0</v>
          </cell>
        </row>
        <row r="537">
          <cell r="B537">
            <v>0</v>
          </cell>
        </row>
        <row r="538">
          <cell r="B538">
            <v>0</v>
          </cell>
        </row>
        <row r="539">
          <cell r="B539">
            <v>0</v>
          </cell>
        </row>
        <row r="540">
          <cell r="B540">
            <v>0</v>
          </cell>
        </row>
        <row r="541">
          <cell r="B541">
            <v>0</v>
          </cell>
        </row>
        <row r="542">
          <cell r="B542">
            <v>0</v>
          </cell>
        </row>
        <row r="543">
          <cell r="B543">
            <v>0</v>
          </cell>
        </row>
        <row r="544">
          <cell r="B544">
            <v>0</v>
          </cell>
        </row>
        <row r="545">
          <cell r="B545">
            <v>0</v>
          </cell>
        </row>
        <row r="546">
          <cell r="B546">
            <v>0</v>
          </cell>
        </row>
        <row r="547">
          <cell r="B547">
            <v>0</v>
          </cell>
        </row>
        <row r="548">
          <cell r="B548">
            <v>0</v>
          </cell>
        </row>
        <row r="549">
          <cell r="B549">
            <v>0</v>
          </cell>
        </row>
        <row r="550">
          <cell r="B550">
            <v>0</v>
          </cell>
        </row>
        <row r="551">
          <cell r="B551">
            <v>0</v>
          </cell>
        </row>
        <row r="552">
          <cell r="B552">
            <v>0</v>
          </cell>
        </row>
        <row r="553">
          <cell r="B553">
            <v>0</v>
          </cell>
        </row>
        <row r="554">
          <cell r="B554">
            <v>0</v>
          </cell>
        </row>
        <row r="555">
          <cell r="B555">
            <v>0</v>
          </cell>
        </row>
        <row r="556">
          <cell r="B556">
            <v>0</v>
          </cell>
        </row>
        <row r="557">
          <cell r="B557">
            <v>0</v>
          </cell>
        </row>
        <row r="558">
          <cell r="B558">
            <v>0</v>
          </cell>
        </row>
        <row r="559">
          <cell r="B559">
            <v>0</v>
          </cell>
        </row>
        <row r="560">
          <cell r="B560">
            <v>0</v>
          </cell>
        </row>
        <row r="561">
          <cell r="B561">
            <v>0</v>
          </cell>
        </row>
        <row r="562">
          <cell r="B562">
            <v>0</v>
          </cell>
        </row>
        <row r="563">
          <cell r="B563">
            <v>0</v>
          </cell>
        </row>
        <row r="564">
          <cell r="B564">
            <v>0</v>
          </cell>
        </row>
        <row r="565">
          <cell r="B565">
            <v>0</v>
          </cell>
        </row>
        <row r="566">
          <cell r="B566">
            <v>0</v>
          </cell>
        </row>
        <row r="567">
          <cell r="B567">
            <v>0</v>
          </cell>
        </row>
        <row r="568">
          <cell r="B568">
            <v>0</v>
          </cell>
        </row>
        <row r="569">
          <cell r="B569">
            <v>0</v>
          </cell>
        </row>
        <row r="570">
          <cell r="B570">
            <v>0</v>
          </cell>
        </row>
        <row r="571">
          <cell r="B571">
            <v>0</v>
          </cell>
        </row>
        <row r="572">
          <cell r="B572">
            <v>0</v>
          </cell>
        </row>
        <row r="573">
          <cell r="B573">
            <v>0</v>
          </cell>
        </row>
        <row r="574">
          <cell r="B574">
            <v>0</v>
          </cell>
        </row>
        <row r="575">
          <cell r="B575">
            <v>0</v>
          </cell>
        </row>
        <row r="576">
          <cell r="B576">
            <v>0</v>
          </cell>
        </row>
        <row r="577">
          <cell r="B577">
            <v>0</v>
          </cell>
        </row>
        <row r="578">
          <cell r="B578">
            <v>0</v>
          </cell>
        </row>
        <row r="579">
          <cell r="B579">
            <v>0</v>
          </cell>
        </row>
        <row r="580">
          <cell r="B580">
            <v>0</v>
          </cell>
        </row>
        <row r="581">
          <cell r="B581">
            <v>0</v>
          </cell>
        </row>
        <row r="582">
          <cell r="B582">
            <v>0</v>
          </cell>
        </row>
        <row r="583">
          <cell r="B583">
            <v>0</v>
          </cell>
        </row>
        <row r="584">
          <cell r="B584">
            <v>0</v>
          </cell>
        </row>
        <row r="585">
          <cell r="B585">
            <v>0</v>
          </cell>
        </row>
        <row r="586">
          <cell r="B586">
            <v>0</v>
          </cell>
        </row>
        <row r="587">
          <cell r="B587">
            <v>0</v>
          </cell>
        </row>
        <row r="588">
          <cell r="B588">
            <v>0</v>
          </cell>
        </row>
        <row r="589">
          <cell r="B589">
            <v>0</v>
          </cell>
        </row>
        <row r="590">
          <cell r="B590">
            <v>0</v>
          </cell>
        </row>
        <row r="591">
          <cell r="B591">
            <v>0</v>
          </cell>
        </row>
        <row r="592">
          <cell r="B592">
            <v>0</v>
          </cell>
        </row>
        <row r="593">
          <cell r="B593">
            <v>0</v>
          </cell>
        </row>
        <row r="594">
          <cell r="B594">
            <v>0</v>
          </cell>
        </row>
        <row r="595">
          <cell r="B595">
            <v>0</v>
          </cell>
        </row>
        <row r="596">
          <cell r="B596">
            <v>0</v>
          </cell>
        </row>
        <row r="597">
          <cell r="B597">
            <v>0</v>
          </cell>
        </row>
        <row r="598">
          <cell r="B598">
            <v>0</v>
          </cell>
        </row>
        <row r="599">
          <cell r="B599">
            <v>0</v>
          </cell>
        </row>
        <row r="600">
          <cell r="B600">
            <v>0</v>
          </cell>
        </row>
        <row r="601">
          <cell r="B601">
            <v>0</v>
          </cell>
        </row>
        <row r="602">
          <cell r="B602">
            <v>0</v>
          </cell>
        </row>
        <row r="603">
          <cell r="B603">
            <v>0</v>
          </cell>
        </row>
        <row r="604">
          <cell r="B604">
            <v>0</v>
          </cell>
        </row>
        <row r="605">
          <cell r="B605">
            <v>0</v>
          </cell>
        </row>
        <row r="606">
          <cell r="B606">
            <v>0</v>
          </cell>
        </row>
        <row r="607">
          <cell r="B607">
            <v>0</v>
          </cell>
        </row>
        <row r="608">
          <cell r="B608">
            <v>0</v>
          </cell>
        </row>
        <row r="609">
          <cell r="B609">
            <v>0</v>
          </cell>
        </row>
        <row r="610">
          <cell r="B610">
            <v>0</v>
          </cell>
        </row>
        <row r="611">
          <cell r="B611">
            <v>0</v>
          </cell>
        </row>
        <row r="612">
          <cell r="B612">
            <v>0</v>
          </cell>
        </row>
        <row r="613">
          <cell r="B613">
            <v>0</v>
          </cell>
        </row>
        <row r="614">
          <cell r="B614">
            <v>0</v>
          </cell>
        </row>
        <row r="615">
          <cell r="B615">
            <v>0</v>
          </cell>
        </row>
        <row r="616">
          <cell r="B616">
            <v>0</v>
          </cell>
        </row>
        <row r="617">
          <cell r="B617">
            <v>0</v>
          </cell>
        </row>
        <row r="618">
          <cell r="B618">
            <v>0</v>
          </cell>
        </row>
        <row r="619">
          <cell r="B619">
            <v>0</v>
          </cell>
        </row>
        <row r="620">
          <cell r="B620">
            <v>0</v>
          </cell>
        </row>
        <row r="621">
          <cell r="B621">
            <v>0</v>
          </cell>
        </row>
        <row r="622">
          <cell r="B622">
            <v>0</v>
          </cell>
        </row>
        <row r="623">
          <cell r="B623">
            <v>0</v>
          </cell>
        </row>
        <row r="624">
          <cell r="B624">
            <v>0</v>
          </cell>
        </row>
        <row r="625">
          <cell r="B625">
            <v>0</v>
          </cell>
        </row>
        <row r="626">
          <cell r="B626">
            <v>0</v>
          </cell>
        </row>
        <row r="627">
          <cell r="B627">
            <v>0</v>
          </cell>
        </row>
        <row r="628">
          <cell r="B628">
            <v>0</v>
          </cell>
        </row>
        <row r="629">
          <cell r="B629">
            <v>0</v>
          </cell>
        </row>
        <row r="630">
          <cell r="B630">
            <v>0</v>
          </cell>
        </row>
        <row r="631">
          <cell r="B631">
            <v>0</v>
          </cell>
        </row>
        <row r="632">
          <cell r="B632">
            <v>0</v>
          </cell>
        </row>
        <row r="633">
          <cell r="B633">
            <v>0</v>
          </cell>
        </row>
        <row r="634">
          <cell r="B634">
            <v>0</v>
          </cell>
        </row>
        <row r="635">
          <cell r="B635">
            <v>0</v>
          </cell>
        </row>
        <row r="636">
          <cell r="B636">
            <v>0</v>
          </cell>
        </row>
        <row r="637">
          <cell r="B637">
            <v>0</v>
          </cell>
        </row>
        <row r="638">
          <cell r="B638">
            <v>0</v>
          </cell>
        </row>
        <row r="639">
          <cell r="B639">
            <v>0</v>
          </cell>
        </row>
        <row r="640">
          <cell r="B640">
            <v>0</v>
          </cell>
        </row>
        <row r="641">
          <cell r="B641">
            <v>0</v>
          </cell>
        </row>
        <row r="642">
          <cell r="B642">
            <v>0</v>
          </cell>
        </row>
        <row r="643">
          <cell r="B643">
            <v>0</v>
          </cell>
        </row>
        <row r="644">
          <cell r="B644">
            <v>0</v>
          </cell>
        </row>
        <row r="645">
          <cell r="B645">
            <v>0</v>
          </cell>
        </row>
        <row r="646">
          <cell r="B646">
            <v>0</v>
          </cell>
        </row>
        <row r="647">
          <cell r="B647">
            <v>0</v>
          </cell>
        </row>
        <row r="648">
          <cell r="B648">
            <v>0</v>
          </cell>
        </row>
        <row r="649">
          <cell r="B649">
            <v>0</v>
          </cell>
        </row>
        <row r="650">
          <cell r="B650">
            <v>0</v>
          </cell>
        </row>
        <row r="651">
          <cell r="B651">
            <v>0</v>
          </cell>
        </row>
        <row r="652">
          <cell r="B652">
            <v>0</v>
          </cell>
        </row>
        <row r="653">
          <cell r="B653">
            <v>0</v>
          </cell>
        </row>
        <row r="654">
          <cell r="B654">
            <v>0</v>
          </cell>
        </row>
        <row r="655">
          <cell r="B655">
            <v>0</v>
          </cell>
        </row>
        <row r="656">
          <cell r="B656">
            <v>0</v>
          </cell>
        </row>
        <row r="657">
          <cell r="B657">
            <v>0</v>
          </cell>
        </row>
        <row r="658">
          <cell r="B658">
            <v>0</v>
          </cell>
        </row>
        <row r="659">
          <cell r="B659">
            <v>0</v>
          </cell>
        </row>
        <row r="660">
          <cell r="B660">
            <v>0</v>
          </cell>
        </row>
        <row r="661">
          <cell r="B661">
            <v>0</v>
          </cell>
        </row>
        <row r="662">
          <cell r="B662">
            <v>0</v>
          </cell>
        </row>
        <row r="663">
          <cell r="B663">
            <v>0</v>
          </cell>
        </row>
        <row r="664">
          <cell r="B664">
            <v>0</v>
          </cell>
        </row>
        <row r="665">
          <cell r="B665">
            <v>0</v>
          </cell>
        </row>
        <row r="666">
          <cell r="B666">
            <v>0</v>
          </cell>
        </row>
        <row r="667">
          <cell r="B667">
            <v>0</v>
          </cell>
        </row>
        <row r="668">
          <cell r="B668">
            <v>0</v>
          </cell>
        </row>
        <row r="669">
          <cell r="B669">
            <v>0</v>
          </cell>
        </row>
        <row r="670">
          <cell r="B670">
            <v>0</v>
          </cell>
        </row>
        <row r="671">
          <cell r="B671">
            <v>0</v>
          </cell>
        </row>
        <row r="672">
          <cell r="B672">
            <v>0</v>
          </cell>
        </row>
        <row r="673">
          <cell r="B673">
            <v>0</v>
          </cell>
        </row>
        <row r="674">
          <cell r="B674">
            <v>0</v>
          </cell>
        </row>
        <row r="675">
          <cell r="B675">
            <v>0</v>
          </cell>
        </row>
        <row r="676">
          <cell r="B676">
            <v>0</v>
          </cell>
        </row>
        <row r="677">
          <cell r="B677">
            <v>0</v>
          </cell>
        </row>
        <row r="678">
          <cell r="B678">
            <v>0</v>
          </cell>
        </row>
        <row r="679">
          <cell r="B679">
            <v>0</v>
          </cell>
        </row>
        <row r="680">
          <cell r="B680">
            <v>0</v>
          </cell>
        </row>
        <row r="681">
          <cell r="B681">
            <v>0</v>
          </cell>
        </row>
        <row r="682">
          <cell r="B682">
            <v>0</v>
          </cell>
        </row>
        <row r="683">
          <cell r="B683">
            <v>0</v>
          </cell>
        </row>
        <row r="684">
          <cell r="B684">
            <v>0</v>
          </cell>
        </row>
        <row r="685">
          <cell r="B685">
            <v>0</v>
          </cell>
        </row>
        <row r="686">
          <cell r="B686">
            <v>0</v>
          </cell>
        </row>
        <row r="687">
          <cell r="B687">
            <v>0</v>
          </cell>
        </row>
        <row r="688">
          <cell r="B688">
            <v>0</v>
          </cell>
        </row>
        <row r="689">
          <cell r="B689">
            <v>0</v>
          </cell>
        </row>
        <row r="690">
          <cell r="B690">
            <v>0</v>
          </cell>
        </row>
        <row r="691">
          <cell r="B691">
            <v>0</v>
          </cell>
        </row>
        <row r="692">
          <cell r="B692">
            <v>0</v>
          </cell>
        </row>
        <row r="693">
          <cell r="B693">
            <v>0</v>
          </cell>
        </row>
        <row r="694">
          <cell r="B694">
            <v>0</v>
          </cell>
        </row>
        <row r="695">
          <cell r="B695">
            <v>0</v>
          </cell>
        </row>
        <row r="696">
          <cell r="B696">
            <v>0</v>
          </cell>
        </row>
        <row r="697">
          <cell r="B697">
            <v>0</v>
          </cell>
        </row>
        <row r="698">
          <cell r="B698">
            <v>0</v>
          </cell>
        </row>
        <row r="699">
          <cell r="B699">
            <v>0</v>
          </cell>
        </row>
        <row r="700">
          <cell r="B700">
            <v>0</v>
          </cell>
        </row>
        <row r="701">
          <cell r="B701">
            <v>0</v>
          </cell>
        </row>
        <row r="702">
          <cell r="B702">
            <v>0</v>
          </cell>
        </row>
        <row r="703">
          <cell r="B703">
            <v>0</v>
          </cell>
        </row>
        <row r="704">
          <cell r="B704">
            <v>0</v>
          </cell>
        </row>
        <row r="705">
          <cell r="B705">
            <v>0</v>
          </cell>
        </row>
        <row r="706">
          <cell r="B706">
            <v>0</v>
          </cell>
        </row>
        <row r="707">
          <cell r="B707">
            <v>0</v>
          </cell>
        </row>
        <row r="708">
          <cell r="B708">
            <v>0</v>
          </cell>
        </row>
        <row r="709">
          <cell r="B709">
            <v>0</v>
          </cell>
        </row>
        <row r="710">
          <cell r="B710">
            <v>0</v>
          </cell>
        </row>
        <row r="711">
          <cell r="B711">
            <v>0</v>
          </cell>
        </row>
        <row r="712">
          <cell r="B712">
            <v>0</v>
          </cell>
        </row>
        <row r="713">
          <cell r="B713">
            <v>0</v>
          </cell>
        </row>
        <row r="714">
          <cell r="B714">
            <v>0</v>
          </cell>
        </row>
        <row r="715">
          <cell r="B715">
            <v>0</v>
          </cell>
        </row>
        <row r="716">
          <cell r="B716">
            <v>0</v>
          </cell>
        </row>
        <row r="717">
          <cell r="B717">
            <v>0</v>
          </cell>
        </row>
        <row r="718">
          <cell r="B718">
            <v>0</v>
          </cell>
        </row>
        <row r="719">
          <cell r="B719">
            <v>0</v>
          </cell>
        </row>
        <row r="720">
          <cell r="B720">
            <v>0</v>
          </cell>
        </row>
        <row r="721">
          <cell r="B721">
            <v>0</v>
          </cell>
        </row>
        <row r="722">
          <cell r="B722">
            <v>0</v>
          </cell>
        </row>
        <row r="723">
          <cell r="B723">
            <v>0</v>
          </cell>
        </row>
        <row r="724">
          <cell r="B724">
            <v>0</v>
          </cell>
        </row>
        <row r="725">
          <cell r="B725">
            <v>0</v>
          </cell>
        </row>
        <row r="726">
          <cell r="B726">
            <v>0</v>
          </cell>
        </row>
        <row r="727">
          <cell r="B727">
            <v>0</v>
          </cell>
        </row>
        <row r="728">
          <cell r="B728">
            <v>0</v>
          </cell>
        </row>
        <row r="729">
          <cell r="B729">
            <v>0</v>
          </cell>
        </row>
        <row r="730">
          <cell r="B730">
            <v>0</v>
          </cell>
        </row>
        <row r="731">
          <cell r="B731">
            <v>0</v>
          </cell>
        </row>
        <row r="732">
          <cell r="B732">
            <v>0</v>
          </cell>
        </row>
        <row r="733">
          <cell r="B733">
            <v>0</v>
          </cell>
        </row>
        <row r="734">
          <cell r="B734">
            <v>0</v>
          </cell>
        </row>
        <row r="735">
          <cell r="B735">
            <v>0</v>
          </cell>
        </row>
        <row r="736">
          <cell r="B736">
            <v>0</v>
          </cell>
        </row>
        <row r="737">
          <cell r="B737">
            <v>0</v>
          </cell>
        </row>
        <row r="738">
          <cell r="B738">
            <v>0</v>
          </cell>
        </row>
        <row r="739">
          <cell r="B739">
            <v>0</v>
          </cell>
        </row>
        <row r="740">
          <cell r="B740">
            <v>0</v>
          </cell>
        </row>
        <row r="741">
          <cell r="B741">
            <v>0</v>
          </cell>
        </row>
        <row r="742">
          <cell r="B742">
            <v>0</v>
          </cell>
        </row>
        <row r="743">
          <cell r="B743">
            <v>0</v>
          </cell>
        </row>
        <row r="744">
          <cell r="B744">
            <v>0</v>
          </cell>
        </row>
        <row r="745">
          <cell r="B745">
            <v>0</v>
          </cell>
        </row>
        <row r="746">
          <cell r="B746">
            <v>0</v>
          </cell>
        </row>
        <row r="747">
          <cell r="B747">
            <v>0</v>
          </cell>
        </row>
        <row r="748">
          <cell r="B748">
            <v>0</v>
          </cell>
        </row>
        <row r="749">
          <cell r="B749">
            <v>0</v>
          </cell>
        </row>
        <row r="750">
          <cell r="B750">
            <v>0</v>
          </cell>
        </row>
        <row r="751">
          <cell r="B751">
            <v>0</v>
          </cell>
        </row>
        <row r="752">
          <cell r="B752">
            <v>0</v>
          </cell>
        </row>
        <row r="753">
          <cell r="B753">
            <v>0</v>
          </cell>
        </row>
        <row r="754">
          <cell r="B754">
            <v>0</v>
          </cell>
        </row>
        <row r="755">
          <cell r="B755">
            <v>0</v>
          </cell>
        </row>
        <row r="756">
          <cell r="B756">
            <v>0</v>
          </cell>
        </row>
        <row r="757">
          <cell r="B757">
            <v>0</v>
          </cell>
        </row>
        <row r="758">
          <cell r="B758">
            <v>0</v>
          </cell>
        </row>
        <row r="759">
          <cell r="B759">
            <v>0</v>
          </cell>
        </row>
        <row r="760">
          <cell r="B760">
            <v>0</v>
          </cell>
        </row>
        <row r="761">
          <cell r="B761">
            <v>0</v>
          </cell>
        </row>
        <row r="762">
          <cell r="B762">
            <v>0</v>
          </cell>
        </row>
        <row r="763">
          <cell r="B763">
            <v>0</v>
          </cell>
        </row>
        <row r="764">
          <cell r="B764">
            <v>0</v>
          </cell>
        </row>
        <row r="765">
          <cell r="B765">
            <v>0</v>
          </cell>
        </row>
        <row r="766">
          <cell r="B766">
            <v>0</v>
          </cell>
        </row>
        <row r="767">
          <cell r="B767">
            <v>0</v>
          </cell>
        </row>
        <row r="768">
          <cell r="B768">
            <v>0</v>
          </cell>
        </row>
        <row r="769">
          <cell r="B769">
            <v>0</v>
          </cell>
        </row>
        <row r="770">
          <cell r="B770">
            <v>0</v>
          </cell>
        </row>
        <row r="771">
          <cell r="B771">
            <v>0</v>
          </cell>
        </row>
        <row r="772">
          <cell r="B772">
            <v>0</v>
          </cell>
        </row>
        <row r="773">
          <cell r="B773">
            <v>0</v>
          </cell>
        </row>
        <row r="774">
          <cell r="B774">
            <v>0</v>
          </cell>
        </row>
        <row r="775">
          <cell r="B775">
            <v>0</v>
          </cell>
        </row>
        <row r="776">
          <cell r="B776">
            <v>0</v>
          </cell>
        </row>
        <row r="777">
          <cell r="B777">
            <v>0</v>
          </cell>
        </row>
        <row r="778">
          <cell r="B778">
            <v>0</v>
          </cell>
        </row>
        <row r="779">
          <cell r="B779">
            <v>0</v>
          </cell>
        </row>
        <row r="780">
          <cell r="B780">
            <v>0</v>
          </cell>
        </row>
        <row r="781">
          <cell r="B781">
            <v>0</v>
          </cell>
        </row>
        <row r="782">
          <cell r="B782">
            <v>0</v>
          </cell>
        </row>
        <row r="783">
          <cell r="B783">
            <v>0</v>
          </cell>
        </row>
        <row r="784">
          <cell r="B784">
            <v>0</v>
          </cell>
        </row>
        <row r="785">
          <cell r="B785">
            <v>0</v>
          </cell>
        </row>
        <row r="786">
          <cell r="B786">
            <v>0</v>
          </cell>
        </row>
        <row r="787">
          <cell r="B787">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1.xml"/><Relationship Id="rId1" Type="http://schemas.openxmlformats.org/officeDocument/2006/relationships/printerSettings" Target="../printerSettings/printerSettings11.bin"/><Relationship Id="rId4" Type="http://schemas.openxmlformats.org/officeDocument/2006/relationships/comments" Target="../comments1.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33"/>
  <sheetViews>
    <sheetView showGridLines="0" workbookViewId="0">
      <selection activeCell="B31" sqref="B31:C31"/>
    </sheetView>
  </sheetViews>
  <sheetFormatPr defaultRowHeight="12.75"/>
  <cols>
    <col min="1" max="1" width="31.140625" style="1626" bestFit="1" customWidth="1"/>
    <col min="2" max="2" width="63" style="1626" bestFit="1" customWidth="1"/>
    <col min="3" max="3" width="64" style="1626" customWidth="1"/>
    <col min="4" max="16384" width="9.140625" style="1626"/>
  </cols>
  <sheetData>
    <row r="1" spans="1:3">
      <c r="A1" s="1625" t="s">
        <v>1277</v>
      </c>
      <c r="B1" s="1625"/>
      <c r="C1" s="1625"/>
    </row>
    <row r="2" spans="1:3">
      <c r="A2" s="1627" t="s">
        <v>1278</v>
      </c>
      <c r="B2" s="1628">
        <v>25019</v>
      </c>
      <c r="C2" s="1629"/>
    </row>
    <row r="3" spans="1:3">
      <c r="A3" s="1627" t="s">
        <v>1279</v>
      </c>
      <c r="B3" s="1630" t="s">
        <v>1280</v>
      </c>
      <c r="C3" s="1629"/>
    </row>
    <row r="4" spans="1:3">
      <c r="A4" s="1627" t="s">
        <v>1281</v>
      </c>
      <c r="B4" s="1630" t="s">
        <v>1282</v>
      </c>
      <c r="C4" s="1629"/>
    </row>
    <row r="5" spans="1:3">
      <c r="A5" s="1627" t="s">
        <v>1283</v>
      </c>
      <c r="B5" s="1630" t="s">
        <v>1284</v>
      </c>
      <c r="C5" s="1629"/>
    </row>
    <row r="6" spans="1:3">
      <c r="A6" s="1627" t="s">
        <v>1285</v>
      </c>
      <c r="B6" s="1630" t="s">
        <v>1286</v>
      </c>
      <c r="C6" s="1631"/>
    </row>
    <row r="7" spans="1:3">
      <c r="A7" s="1627" t="s">
        <v>1287</v>
      </c>
      <c r="B7" s="1632" t="s">
        <v>1288</v>
      </c>
      <c r="C7" s="1629"/>
    </row>
    <row r="8" spans="1:3">
      <c r="A8" s="1633"/>
      <c r="B8" s="1629"/>
      <c r="C8" s="1629"/>
    </row>
    <row r="9" spans="1:3">
      <c r="A9" s="1634" t="s">
        <v>1289</v>
      </c>
      <c r="B9" s="1670" t="s">
        <v>1290</v>
      </c>
      <c r="C9" s="1671"/>
    </row>
    <row r="10" spans="1:3">
      <c r="A10" s="1633"/>
      <c r="B10" s="1632"/>
      <c r="C10" s="1632"/>
    </row>
    <row r="11" spans="1:3">
      <c r="A11" s="1627" t="s">
        <v>1291</v>
      </c>
      <c r="B11" s="1632" t="s">
        <v>1292</v>
      </c>
      <c r="C11" s="1632"/>
    </row>
    <row r="12" spans="1:3">
      <c r="A12" s="1633"/>
      <c r="B12" s="1632"/>
      <c r="C12" s="1632"/>
    </row>
    <row r="13" spans="1:3">
      <c r="A13" s="1634" t="s">
        <v>1293</v>
      </c>
      <c r="B13" s="1672" t="s">
        <v>1294</v>
      </c>
      <c r="C13" s="1673"/>
    </row>
    <row r="14" spans="1:3" ht="13.5" thickBot="1">
      <c r="A14" s="1633"/>
      <c r="B14" s="1635"/>
      <c r="C14" s="1636"/>
    </row>
    <row r="15" spans="1:3" ht="13.5" thickBot="1">
      <c r="A15" s="1674" t="s">
        <v>1295</v>
      </c>
      <c r="B15" s="1675"/>
      <c r="C15" s="1676"/>
    </row>
    <row r="16" spans="1:3">
      <c r="A16" s="1637"/>
      <c r="B16" s="1638"/>
      <c r="C16" s="1639"/>
    </row>
    <row r="17" spans="1:3">
      <c r="A17" s="1640" t="s">
        <v>1296</v>
      </c>
      <c r="B17" s="1677" t="s">
        <v>1297</v>
      </c>
      <c r="C17" s="1678"/>
    </row>
    <row r="18" spans="1:3">
      <c r="A18" s="1624"/>
      <c r="B18" s="1677"/>
      <c r="C18" s="1678"/>
    </row>
    <row r="19" spans="1:3">
      <c r="A19" s="1641"/>
      <c r="B19" s="1642"/>
      <c r="C19" s="1643"/>
    </row>
    <row r="20" spans="1:3">
      <c r="A20" s="1640" t="s">
        <v>1298</v>
      </c>
      <c r="B20" s="1677" t="s">
        <v>1299</v>
      </c>
      <c r="C20" s="1678"/>
    </row>
    <row r="21" spans="1:3">
      <c r="B21" s="1677"/>
      <c r="C21" s="1678"/>
    </row>
    <row r="22" spans="1:3">
      <c r="A22" s="1641"/>
      <c r="B22" s="1644"/>
      <c r="C22" s="1643"/>
    </row>
    <row r="23" spans="1:3">
      <c r="A23" s="1640" t="s">
        <v>1300</v>
      </c>
      <c r="B23" s="1666" t="s">
        <v>1159</v>
      </c>
      <c r="C23" s="1667"/>
    </row>
    <row r="24" spans="1:3">
      <c r="A24" s="1641"/>
      <c r="B24" s="1642"/>
      <c r="C24" s="1643"/>
    </row>
    <row r="25" spans="1:3">
      <c r="A25" s="1640" t="s">
        <v>1301</v>
      </c>
      <c r="B25" s="1666" t="s">
        <v>1302</v>
      </c>
      <c r="C25" s="1667"/>
    </row>
    <row r="26" spans="1:3">
      <c r="A26" s="1641"/>
      <c r="B26" s="1642"/>
      <c r="C26" s="1643"/>
    </row>
    <row r="27" spans="1:3">
      <c r="A27" s="1640" t="s">
        <v>1303</v>
      </c>
      <c r="B27" s="1666" t="s">
        <v>1159</v>
      </c>
      <c r="C27" s="1667"/>
    </row>
    <row r="28" spans="1:3">
      <c r="A28" s="1645"/>
      <c r="B28" s="1646"/>
      <c r="C28" s="1647"/>
    </row>
    <row r="29" spans="1:3" ht="13.5" thickBot="1">
      <c r="A29" s="1648"/>
      <c r="B29" s="1649"/>
      <c r="C29" s="1650"/>
    </row>
    <row r="30" spans="1:3">
      <c r="A30" s="1632"/>
      <c r="B30" s="1632"/>
      <c r="C30" s="1632"/>
    </row>
    <row r="31" spans="1:3">
      <c r="A31" s="1634" t="s">
        <v>1304</v>
      </c>
      <c r="B31" s="1668" t="s">
        <v>1305</v>
      </c>
      <c r="C31" s="1669"/>
    </row>
    <row r="32" spans="1:3">
      <c r="A32" s="1632"/>
      <c r="B32" s="1632"/>
      <c r="C32" s="1651"/>
    </row>
    <row r="33" spans="1:3">
      <c r="A33" s="1634" t="s">
        <v>1306</v>
      </c>
      <c r="B33" s="1630" t="s">
        <v>1307</v>
      </c>
      <c r="C33" s="1630"/>
    </row>
  </sheetData>
  <sheetProtection algorithmName="SHA-512" hashValue="qZiO2rJTUB6PVuLQAjfgN1Oq3W8rMUQlCIGvAXXqAlGfZ2tJo0oSmBp/0l/IX5XEHcD0ux97YIgHbyZD2K7rRA==" saltValue="pGb93UNPx2xH/Rd6m7dHUw==" spinCount="100000" sheet="1" objects="1" scenarios="1"/>
  <mergeCells count="9">
    <mergeCell ref="B25:C25"/>
    <mergeCell ref="B27:C27"/>
    <mergeCell ref="B31:C31"/>
    <mergeCell ref="B9:C9"/>
    <mergeCell ref="B13:C13"/>
    <mergeCell ref="A15:C15"/>
    <mergeCell ref="B17:C18"/>
    <mergeCell ref="B20:C21"/>
    <mergeCell ref="B23:C2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AX112"/>
  <sheetViews>
    <sheetView showGridLines="0" zoomScale="90" zoomScaleNormal="90" zoomScaleSheetLayoutView="70" zoomScalePageLayoutView="90" workbookViewId="0">
      <selection activeCell="I9" sqref="I9"/>
    </sheetView>
  </sheetViews>
  <sheetFormatPr defaultColWidth="9.140625" defaultRowHeight="12.75"/>
  <cols>
    <col min="1" max="1" width="1.140625" style="15" customWidth="1"/>
    <col min="2" max="2" width="12.42578125" style="49" customWidth="1"/>
    <col min="3" max="3" width="13.85546875" style="15" customWidth="1"/>
    <col min="4" max="4" width="13.140625" style="15" customWidth="1"/>
    <col min="5" max="5" width="14.28515625" style="15" customWidth="1"/>
    <col min="6" max="6" width="1.7109375" style="15" customWidth="1"/>
    <col min="7" max="7" width="13.28515625" style="15" customWidth="1"/>
    <col min="8" max="8" width="12.42578125" style="15" customWidth="1"/>
    <col min="9" max="9" width="12.5703125" style="15" customWidth="1"/>
    <col min="10" max="10" width="15.7109375" style="15" bestFit="1" customWidth="1"/>
    <col min="11" max="11" width="12.5703125" style="15" customWidth="1"/>
    <col min="12" max="12" width="14.140625" style="15" customWidth="1"/>
    <col min="13" max="13" width="12.5703125" style="15" customWidth="1"/>
    <col min="14" max="14" width="13.5703125" style="15" customWidth="1"/>
    <col min="15" max="15" width="14.7109375" style="15" customWidth="1"/>
    <col min="16" max="16" width="12.5703125" style="800" hidden="1" customWidth="1"/>
    <col min="17" max="17" width="9.5703125" style="800" hidden="1" customWidth="1"/>
    <col min="18" max="18" width="17.140625" style="800" hidden="1" customWidth="1"/>
    <col min="19" max="19" width="9.85546875" style="800" hidden="1" customWidth="1"/>
    <col min="20" max="20" width="10.7109375" style="800" hidden="1" customWidth="1"/>
    <col min="21" max="21" width="13.7109375" style="800" hidden="1" customWidth="1"/>
    <col min="22" max="22" width="15" style="800" hidden="1" customWidth="1"/>
    <col min="23" max="25" width="11.28515625" style="217" hidden="1" customWidth="1"/>
    <col min="26" max="26" width="24" style="800" hidden="1" customWidth="1"/>
    <col min="27" max="27" width="9.140625" style="800" hidden="1" customWidth="1"/>
    <col min="28" max="28" width="15.5703125" style="800" hidden="1" customWidth="1"/>
    <col min="29" max="30" width="9.140625" style="800" hidden="1" customWidth="1"/>
    <col min="31" max="31" width="12.85546875" style="800" hidden="1" customWidth="1"/>
    <col min="32" max="32" width="31.5703125" style="800" hidden="1" customWidth="1"/>
    <col min="33" max="33" width="9.140625" style="800" hidden="1" customWidth="1"/>
    <col min="34" max="34" width="14.7109375" style="800" hidden="1" customWidth="1"/>
    <col min="35" max="35" width="17.5703125" style="800" hidden="1" customWidth="1"/>
    <col min="36" max="36" width="20.85546875" style="800" hidden="1" customWidth="1"/>
    <col min="37" max="38" width="17.5703125" style="800" hidden="1" customWidth="1"/>
    <col min="39" max="39" width="18.7109375" style="800" hidden="1" customWidth="1"/>
    <col min="40" max="44" width="9.140625" style="800" hidden="1" customWidth="1"/>
    <col min="45" max="50" width="9.140625" style="15" hidden="1" customWidth="1"/>
    <col min="51" max="72" width="9.140625" style="15" customWidth="1"/>
    <col min="73" max="16384" width="9.140625" style="15"/>
  </cols>
  <sheetData>
    <row r="1" spans="2:44" ht="15" customHeight="1">
      <c r="C1" s="49"/>
      <c r="D1" s="49"/>
      <c r="E1" s="49"/>
      <c r="F1" s="49"/>
      <c r="G1" s="49"/>
      <c r="H1" s="49"/>
      <c r="I1" s="49"/>
      <c r="J1" s="49"/>
      <c r="K1" s="1937" t="s">
        <v>962</v>
      </c>
      <c r="L1" s="1937"/>
      <c r="M1" s="1937"/>
      <c r="N1" s="1937"/>
      <c r="O1" s="1937"/>
      <c r="Q1" s="217"/>
      <c r="R1" s="217"/>
      <c r="S1" s="217"/>
      <c r="T1" s="217"/>
      <c r="U1" s="217"/>
      <c r="V1" s="217"/>
    </row>
    <row r="2" spans="2:44" ht="13.5" customHeight="1">
      <c r="C2" s="49"/>
      <c r="D2" s="49"/>
      <c r="E2" s="49"/>
      <c r="F2" s="49"/>
      <c r="G2" s="49"/>
      <c r="H2" s="49"/>
      <c r="I2" s="49"/>
      <c r="J2" s="49"/>
      <c r="N2" s="1833" t="s">
        <v>1161</v>
      </c>
      <c r="O2" s="1833"/>
    </row>
    <row r="3" spans="2:44" ht="6.75" customHeight="1">
      <c r="C3" s="13"/>
      <c r="D3" s="13"/>
      <c r="E3" s="13"/>
      <c r="O3" s="13"/>
      <c r="P3" s="912"/>
      <c r="X3" s="913" t="s">
        <v>705</v>
      </c>
    </row>
    <row r="4" spans="2:44" ht="15" customHeight="1">
      <c r="C4" s="13"/>
      <c r="D4" s="13"/>
      <c r="E4" s="13"/>
      <c r="H4" s="2029" t="str">
        <f>IF('Project Info and Instructions'!W35&gt;0,"Input the project name and AHP Project Number at the top of the 'Instructions' tab.",'Project Info and Instructions'!F18&amp;" - "&amp;'Project Info and Instructions'!F16)</f>
        <v>Input the project name and AHP Project Number at the top of the 'Instructions' tab.</v>
      </c>
      <c r="I4" s="2029"/>
      <c r="J4" s="2029"/>
      <c r="K4" s="2029"/>
      <c r="L4" s="2029"/>
      <c r="M4" s="2029"/>
      <c r="N4" s="2029"/>
      <c r="O4" s="2029"/>
      <c r="X4" s="443" t="str">
        <f>IF(AND(X9=2,D14&lt;&gt;"NAHASDA"),D15&amp;", "&amp;D14,IF(AND(X9=2,D14="NAHASDA"),", "&amp;D14,""))</f>
        <v/>
      </c>
      <c r="AE4" s="800" t="s">
        <v>398</v>
      </c>
    </row>
    <row r="5" spans="2:44" ht="7.5" customHeight="1">
      <c r="C5" s="13"/>
      <c r="D5" s="13"/>
      <c r="E5" s="13"/>
      <c r="F5" s="13"/>
      <c r="G5" s="13"/>
      <c r="S5" s="99"/>
      <c r="T5" s="99"/>
      <c r="U5" s="99"/>
      <c r="V5" s="99"/>
      <c r="X5" s="82" t="str">
        <f>D19&amp;", "&amp;D18</f>
        <v xml:space="preserve">, </v>
      </c>
      <c r="AF5" s="218" t="s">
        <v>161</v>
      </c>
      <c r="AG5" s="218" t="s">
        <v>190</v>
      </c>
      <c r="AH5" s="218" t="s">
        <v>191</v>
      </c>
      <c r="AI5" s="218" t="s">
        <v>196</v>
      </c>
      <c r="AJ5" s="218" t="s">
        <v>240</v>
      </c>
      <c r="AK5" s="218" t="s">
        <v>289</v>
      </c>
      <c r="AL5" s="218" t="s">
        <v>321</v>
      </c>
      <c r="AM5" s="218" t="s">
        <v>197</v>
      </c>
      <c r="AN5" s="218" t="s">
        <v>374</v>
      </c>
    </row>
    <row r="6" spans="2:44" ht="30.75" customHeight="1">
      <c r="C6" s="1177"/>
      <c r="D6" s="1177"/>
      <c r="E6" s="1177"/>
      <c r="F6" s="1177"/>
      <c r="G6" s="1177"/>
      <c r="H6" s="1177"/>
      <c r="I6" s="1177"/>
      <c r="J6" s="1177"/>
      <c r="K6" s="1177"/>
      <c r="L6" s="1177"/>
      <c r="M6" s="1177"/>
      <c r="N6" s="1177"/>
      <c r="O6" s="1177"/>
      <c r="V6" s="99"/>
      <c r="AB6" s="118" t="s">
        <v>709</v>
      </c>
      <c r="AE6" s="800" t="s">
        <v>389</v>
      </c>
      <c r="AF6" s="218" t="s">
        <v>162</v>
      </c>
      <c r="AH6" s="218" t="s">
        <v>192</v>
      </c>
      <c r="AI6" s="218" t="s">
        <v>197</v>
      </c>
      <c r="AJ6" s="218" t="s">
        <v>241</v>
      </c>
      <c r="AK6" s="218" t="s">
        <v>290</v>
      </c>
      <c r="AL6" s="218" t="s">
        <v>322</v>
      </c>
      <c r="AM6" s="218" t="s">
        <v>347</v>
      </c>
      <c r="AN6" s="218" t="s">
        <v>241</v>
      </c>
    </row>
    <row r="7" spans="2:44" ht="7.5" customHeight="1">
      <c r="Q7" s="914"/>
      <c r="T7" s="915"/>
      <c r="U7" s="916"/>
      <c r="V7" s="917"/>
      <c r="Z7" s="800">
        <f>COUNTA(D14)</f>
        <v>0</v>
      </c>
      <c r="AB7" s="118">
        <f>COUNTIF(D14,"")</f>
        <v>1</v>
      </c>
      <c r="AE7" s="800" t="s">
        <v>190</v>
      </c>
      <c r="AF7" s="218" t="s">
        <v>163</v>
      </c>
      <c r="AH7" s="218" t="s">
        <v>193</v>
      </c>
      <c r="AI7" s="218" t="s">
        <v>198</v>
      </c>
      <c r="AJ7" s="218" t="s">
        <v>202</v>
      </c>
      <c r="AK7" s="218" t="s">
        <v>291</v>
      </c>
      <c r="AL7" s="218" t="s">
        <v>323</v>
      </c>
      <c r="AM7" s="218" t="s">
        <v>290</v>
      </c>
      <c r="AN7" s="218" t="s">
        <v>375</v>
      </c>
    </row>
    <row r="8" spans="2:44" ht="3.75" customHeight="1">
      <c r="B8" s="498"/>
      <c r="C8" s="499"/>
      <c r="D8" s="499"/>
      <c r="E8" s="499"/>
      <c r="F8" s="499"/>
      <c r="G8" s="499"/>
      <c r="H8" s="499"/>
      <c r="J8" s="1906" t="s">
        <v>835</v>
      </c>
      <c r="K8" s="499"/>
      <c r="L8" s="499"/>
      <c r="M8" s="500"/>
      <c r="N8" s="500"/>
      <c r="O8" s="40"/>
      <c r="P8" s="918"/>
      <c r="Q8" s="918"/>
      <c r="R8" s="918"/>
      <c r="S8" s="918"/>
      <c r="T8" s="99"/>
      <c r="U8" s="99"/>
      <c r="V8" s="217"/>
      <c r="Y8" s="800"/>
      <c r="AE8" s="800" t="s">
        <v>390</v>
      </c>
      <c r="AF8" s="218" t="s">
        <v>164</v>
      </c>
      <c r="AH8" s="218" t="s">
        <v>194</v>
      </c>
      <c r="AI8" s="218" t="s">
        <v>199</v>
      </c>
      <c r="AJ8" s="218" t="s">
        <v>242</v>
      </c>
      <c r="AK8" s="218" t="s">
        <v>292</v>
      </c>
      <c r="AL8" s="218" t="s">
        <v>243</v>
      </c>
      <c r="AM8" s="218" t="s">
        <v>348</v>
      </c>
      <c r="AN8" s="218" t="s">
        <v>243</v>
      </c>
    </row>
    <row r="9" spans="2:44" s="91" customFormat="1" ht="36.75" customHeight="1">
      <c r="B9" s="804" t="s">
        <v>937</v>
      </c>
      <c r="C9" s="805" t="s">
        <v>838</v>
      </c>
      <c r="D9" s="805" t="s">
        <v>832</v>
      </c>
      <c r="E9" s="805" t="s">
        <v>851</v>
      </c>
      <c r="F9" s="1773" t="s">
        <v>833</v>
      </c>
      <c r="G9" s="1774"/>
      <c r="H9" s="805" t="s">
        <v>852</v>
      </c>
      <c r="I9" s="805" t="s">
        <v>834</v>
      </c>
      <c r="J9" s="1907"/>
      <c r="K9" s="807" t="s">
        <v>836</v>
      </c>
      <c r="L9" s="805" t="s">
        <v>902</v>
      </c>
      <c r="M9" s="805" t="s">
        <v>837</v>
      </c>
      <c r="N9" s="910" t="s">
        <v>855</v>
      </c>
      <c r="O9" s="697"/>
      <c r="P9" s="99"/>
      <c r="Q9" s="99"/>
      <c r="R9" s="919"/>
      <c r="S9" s="99"/>
      <c r="T9" s="99"/>
      <c r="U9" s="99"/>
      <c r="V9" s="217">
        <f>IF(D14&lt;&gt;"",1,0)</f>
        <v>0</v>
      </c>
      <c r="W9" s="217">
        <f>IF(OR(D15="",D14=AA7),0,1)</f>
        <v>0</v>
      </c>
      <c r="X9" s="217">
        <f>IF(D14="NAHASDA",2,V9+W9)</f>
        <v>0</v>
      </c>
      <c r="Y9" s="800"/>
      <c r="Z9" s="800"/>
      <c r="AA9" s="800"/>
      <c r="AB9" s="800"/>
      <c r="AC9" s="800"/>
      <c r="AD9" s="800"/>
      <c r="AE9" s="800" t="s">
        <v>391</v>
      </c>
      <c r="AF9" s="218" t="s">
        <v>165</v>
      </c>
      <c r="AG9" s="800"/>
      <c r="AH9" s="218" t="s">
        <v>195</v>
      </c>
      <c r="AI9" s="218" t="s">
        <v>200</v>
      </c>
      <c r="AJ9" s="218" t="s">
        <v>243</v>
      </c>
      <c r="AK9" s="218" t="s">
        <v>293</v>
      </c>
      <c r="AL9" s="218" t="s">
        <v>324</v>
      </c>
      <c r="AM9" s="218" t="s">
        <v>349</v>
      </c>
      <c r="AN9" s="218" t="s">
        <v>376</v>
      </c>
      <c r="AO9" s="800"/>
      <c r="AP9" s="800"/>
      <c r="AQ9" s="800"/>
      <c r="AR9" s="800"/>
    </row>
    <row r="10" spans="2:44" ht="3" customHeight="1">
      <c r="B10" s="135"/>
      <c r="C10" s="276"/>
      <c r="D10" s="276"/>
      <c r="E10" s="276"/>
      <c r="G10" s="276"/>
      <c r="H10" s="276"/>
      <c r="I10" s="276"/>
      <c r="J10" s="419"/>
      <c r="K10" s="276"/>
      <c r="M10" s="276"/>
      <c r="N10" s="438"/>
      <c r="O10" s="438"/>
      <c r="P10" s="99"/>
      <c r="Q10" s="99"/>
      <c r="R10" s="99"/>
      <c r="S10" s="99"/>
      <c r="T10" s="99"/>
      <c r="U10" s="99"/>
      <c r="V10" s="217"/>
      <c r="Y10" s="800"/>
      <c r="AE10" s="800" t="s">
        <v>393</v>
      </c>
      <c r="AF10" s="218" t="s">
        <v>166</v>
      </c>
      <c r="AI10" s="218" t="s">
        <v>201</v>
      </c>
      <c r="AJ10" s="218" t="s">
        <v>244</v>
      </c>
      <c r="AK10" s="218" t="s">
        <v>294</v>
      </c>
      <c r="AL10" s="218" t="s">
        <v>325</v>
      </c>
      <c r="AM10" s="218" t="s">
        <v>212</v>
      </c>
      <c r="AN10" s="218" t="s">
        <v>295</v>
      </c>
    </row>
    <row r="11" spans="2:44" s="76" customFormat="1" ht="1.5" customHeight="1">
      <c r="C11" s="45"/>
      <c r="D11" s="96"/>
      <c r="F11" s="659"/>
      <c r="G11" s="141"/>
      <c r="H11" s="141"/>
      <c r="I11" s="141"/>
      <c r="J11" s="88"/>
      <c r="K11" s="88"/>
      <c r="L11" s="660"/>
      <c r="M11" s="88"/>
      <c r="N11" s="88"/>
      <c r="O11" s="88"/>
      <c r="P11" s="920"/>
      <c r="Q11" s="920"/>
      <c r="R11" s="920"/>
      <c r="S11" s="920"/>
      <c r="T11" s="920"/>
      <c r="U11" s="920"/>
      <c r="V11" s="920"/>
      <c r="W11" s="87"/>
      <c r="X11" s="87"/>
      <c r="Y11" s="87"/>
      <c r="Z11" s="82"/>
      <c r="AA11" s="82"/>
      <c r="AB11" s="82"/>
      <c r="AC11" s="82"/>
      <c r="AD11" s="82"/>
      <c r="AE11" s="82" t="s">
        <v>394</v>
      </c>
      <c r="AF11" s="221" t="s">
        <v>167</v>
      </c>
      <c r="AG11" s="82"/>
      <c r="AH11" s="82"/>
      <c r="AI11" s="221" t="s">
        <v>202</v>
      </c>
      <c r="AJ11" s="221" t="s">
        <v>245</v>
      </c>
      <c r="AK11" s="221" t="s">
        <v>295</v>
      </c>
      <c r="AL11" s="221" t="s">
        <v>326</v>
      </c>
      <c r="AM11" s="221" t="s">
        <v>293</v>
      </c>
      <c r="AN11" s="221" t="s">
        <v>217</v>
      </c>
      <c r="AO11" s="82"/>
      <c r="AP11" s="82"/>
      <c r="AQ11" s="82"/>
      <c r="AR11" s="82"/>
    </row>
    <row r="12" spans="2:44" s="76" customFormat="1" ht="12" customHeight="1">
      <c r="B12" s="77"/>
      <c r="C12" s="41"/>
      <c r="D12" s="41"/>
      <c r="E12" s="41"/>
      <c r="F12" s="41"/>
      <c r="G12" s="41"/>
      <c r="H12" s="2024" t="str">
        <f>IF(D14="","2015 HUD Income Limits",IF(AND(D14="Not Listed",V16&lt;2),"2015 HUD Income Limits",IF(AND(D14="Not Listed",D18&lt;&gt;"",D19&lt;&gt;""),"2015 HUD Income Limits for "&amp;X5,IF(AND(V17=2,D14&lt;&gt;"NAHASDA"),"2015 HUD Income Limits for "&amp;X4,IF(AND(V17=2,D14="NAHASDA"),"Income Limits for NAHASDA","2015 HUD Income Limits")))))</f>
        <v>2015 HUD Income Limits</v>
      </c>
      <c r="I12" s="2024"/>
      <c r="J12" s="2024"/>
      <c r="K12" s="2024"/>
      <c r="L12" s="2024"/>
      <c r="M12" s="2024"/>
      <c r="N12" s="2024"/>
      <c r="O12" s="2024"/>
      <c r="P12" s="921"/>
      <c r="Q12" s="920"/>
      <c r="R12" s="99"/>
      <c r="S12" s="920"/>
      <c r="T12" s="920"/>
      <c r="U12" s="920"/>
      <c r="V12" s="920"/>
      <c r="W12" s="87"/>
      <c r="X12" s="87"/>
      <c r="Y12" s="87"/>
      <c r="Z12" s="82">
        <f>COUNTIF(AF5:AN60,D15)</f>
        <v>0</v>
      </c>
      <c r="AA12" s="82"/>
      <c r="AB12" s="82"/>
      <c r="AC12" s="82"/>
      <c r="AD12" s="82"/>
      <c r="AE12" s="82" t="s">
        <v>392</v>
      </c>
      <c r="AF12" s="221" t="s">
        <v>168</v>
      </c>
      <c r="AG12" s="82"/>
      <c r="AH12" s="82"/>
      <c r="AI12" s="221" t="s">
        <v>203</v>
      </c>
      <c r="AJ12" s="221" t="s">
        <v>246</v>
      </c>
      <c r="AK12" s="221" t="s">
        <v>296</v>
      </c>
      <c r="AL12" s="221" t="s">
        <v>327</v>
      </c>
      <c r="AM12" s="221" t="s">
        <v>350</v>
      </c>
      <c r="AN12" s="221" t="s">
        <v>377</v>
      </c>
      <c r="AO12" s="82"/>
      <c r="AP12" s="82"/>
      <c r="AQ12" s="82"/>
      <c r="AR12" s="82"/>
    </row>
    <row r="13" spans="2:44" s="76" customFormat="1" ht="12.75" customHeight="1">
      <c r="B13" s="77"/>
      <c r="E13" s="41"/>
      <c r="F13" s="88"/>
      <c r="G13" s="88"/>
      <c r="H13" s="1004">
        <v>1</v>
      </c>
      <c r="I13" s="1005">
        <v>2</v>
      </c>
      <c r="J13" s="1006">
        <v>3</v>
      </c>
      <c r="K13" s="1006">
        <v>4</v>
      </c>
      <c r="L13" s="1006">
        <v>5</v>
      </c>
      <c r="M13" s="1006">
        <v>6</v>
      </c>
      <c r="N13" s="1006">
        <v>7</v>
      </c>
      <c r="O13" s="1007">
        <v>8</v>
      </c>
      <c r="P13" s="922">
        <v>9</v>
      </c>
      <c r="Q13" s="922">
        <v>10</v>
      </c>
      <c r="R13" s="920"/>
      <c r="S13" s="920"/>
      <c r="T13" s="920"/>
      <c r="U13" s="920"/>
      <c r="V13" s="920"/>
      <c r="W13" s="82"/>
      <c r="X13" s="87"/>
      <c r="Y13" s="87"/>
      <c r="Z13" s="82"/>
      <c r="AA13" s="82"/>
      <c r="AB13" s="82"/>
      <c r="AC13" s="82"/>
      <c r="AD13" s="82"/>
      <c r="AE13" s="82" t="s">
        <v>395</v>
      </c>
      <c r="AF13" s="221" t="s">
        <v>169</v>
      </c>
      <c r="AG13" s="82"/>
      <c r="AH13" s="82"/>
      <c r="AI13" s="221" t="s">
        <v>204</v>
      </c>
      <c r="AJ13" s="221" t="s">
        <v>214</v>
      </c>
      <c r="AK13" s="221" t="s">
        <v>297</v>
      </c>
      <c r="AL13" s="221" t="s">
        <v>254</v>
      </c>
      <c r="AM13" s="221" t="s">
        <v>298</v>
      </c>
      <c r="AN13" s="221" t="s">
        <v>378</v>
      </c>
      <c r="AO13" s="82"/>
      <c r="AP13" s="82"/>
      <c r="AQ13" s="82"/>
      <c r="AR13" s="82"/>
    </row>
    <row r="14" spans="2:44" s="76" customFormat="1" ht="12.75" customHeight="1">
      <c r="B14" s="1796" t="str">
        <f>IF(D14="","Select Project State:","Project State:")</f>
        <v>Select Project State:</v>
      </c>
      <c r="C14" s="1796"/>
      <c r="D14" s="999"/>
      <c r="G14" s="1001" t="s">
        <v>664</v>
      </c>
      <c r="H14" s="1008" t="str">
        <f>IF($D$14="Not Listed",$K14*0.7,AB68)</f>
        <v/>
      </c>
      <c r="I14" s="1008" t="str">
        <f>IF($D$14="Not Listed",$K14*0.8,AC68)</f>
        <v/>
      </c>
      <c r="J14" s="1008" t="str">
        <f>IF($D$14="Not Listed",$K14*0.9,AD68)</f>
        <v/>
      </c>
      <c r="K14" s="1008" t="str">
        <f>IF($D$14="Not Listed",$K$15*2*0.3,IF(D14="Select a State","",AE68))</f>
        <v/>
      </c>
      <c r="L14" s="1008" t="str">
        <f>IF($D$14="Not Listed",$K14*1.08,AF68)</f>
        <v/>
      </c>
      <c r="M14" s="1008" t="str">
        <f>IF($D$14="Not Listed",$K14*1.16,AG68)</f>
        <v/>
      </c>
      <c r="N14" s="1008" t="str">
        <f>IF($D$14="Not Listed",$K14*1.24,AH68)</f>
        <v/>
      </c>
      <c r="O14" s="1008" t="str">
        <f>IF($D$14="Not Listed",$K14*1.32,AI68)</f>
        <v/>
      </c>
      <c r="P14" s="923" t="str">
        <f>IFERROR(K14*0.08+O14,"")</f>
        <v/>
      </c>
      <c r="Q14" s="923" t="str">
        <f>IFERROR(K14*0.08*2+O14,"")</f>
        <v/>
      </c>
      <c r="R14" s="82"/>
      <c r="S14" s="82"/>
      <c r="T14" s="82"/>
      <c r="U14" s="82">
        <f>IF(AND(D14&lt;&gt;"NAHASDA",D14&lt;&gt;"Not Listed",D15=""),1,0)</f>
        <v>1</v>
      </c>
      <c r="V14" s="82"/>
      <c r="W14" s="82"/>
      <c r="X14" s="87"/>
      <c r="Y14" s="87">
        <f>COUNTIF(D14,"")</f>
        <v>1</v>
      </c>
      <c r="Z14" s="82"/>
      <c r="AA14" s="82"/>
      <c r="AB14" s="82"/>
      <c r="AC14" s="82"/>
      <c r="AD14" s="82"/>
      <c r="AE14" s="82" t="s">
        <v>396</v>
      </c>
      <c r="AF14" s="221" t="s">
        <v>170</v>
      </c>
      <c r="AG14" s="82"/>
      <c r="AH14" s="82"/>
      <c r="AI14" s="221" t="s">
        <v>205</v>
      </c>
      <c r="AJ14" s="221" t="s">
        <v>247</v>
      </c>
      <c r="AK14" s="221" t="s">
        <v>298</v>
      </c>
      <c r="AL14" s="221" t="s">
        <v>328</v>
      </c>
      <c r="AM14" s="221" t="s">
        <v>351</v>
      </c>
      <c r="AN14" s="221" t="s">
        <v>379</v>
      </c>
      <c r="AO14" s="82"/>
      <c r="AP14" s="82"/>
      <c r="AQ14" s="82"/>
      <c r="AR14" s="82"/>
    </row>
    <row r="15" spans="2:44" s="76" customFormat="1" ht="12.75" customHeight="1">
      <c r="B15" s="1796" t="str">
        <f>IF(OR(D15="",D15="A state has not been selected."),"Select Project County:","Project County:")</f>
        <v>Select Project County:</v>
      </c>
      <c r="C15" s="1796"/>
      <c r="D15" s="1949"/>
      <c r="E15" s="1951"/>
      <c r="G15" s="1002" t="s">
        <v>713</v>
      </c>
      <c r="H15" s="1008" t="str">
        <f>IF($D$14="Not Listed",$K15*0.7,AB69)</f>
        <v/>
      </c>
      <c r="I15" s="1008" t="str">
        <f>IF($D$14="Not Listed",$K15*0.8,AC69)</f>
        <v/>
      </c>
      <c r="J15" s="1008" t="str">
        <f>IF($D$14="Not Listed",$K15*0.9,AD69)</f>
        <v/>
      </c>
      <c r="K15" s="1008" t="str">
        <f>IF($D$14="Not Listed",E20,AE69)</f>
        <v/>
      </c>
      <c r="L15" s="1008" t="str">
        <f>IF($D$14="Not Listed",$K15*1.08,AF69)</f>
        <v/>
      </c>
      <c r="M15" s="1008" t="str">
        <f>IF($D$14="Not Listed",$K15*1.16,AG69)</f>
        <v/>
      </c>
      <c r="N15" s="1008" t="str">
        <f>IF($D$14="Not Listed",$K15*1.24,AH69)</f>
        <v/>
      </c>
      <c r="O15" s="1008" t="str">
        <f>IF($D$14="Not Listed",$K15*1.32,AI69)</f>
        <v/>
      </c>
      <c r="P15" s="923" t="str">
        <f t="shared" ref="P15:P18" si="0">IFERROR(K15*0.08+O15,"")</f>
        <v/>
      </c>
      <c r="Q15" s="923" t="str">
        <f t="shared" ref="Q15:Q18" si="1">IFERROR(K15*0.08*2+O15,"")</f>
        <v/>
      </c>
      <c r="R15" s="82"/>
      <c r="S15" s="82">
        <f>IF(D14="Not Listed",1,0)</f>
        <v>0</v>
      </c>
      <c r="T15" s="82"/>
      <c r="U15" s="82"/>
      <c r="V15" s="82"/>
      <c r="W15" s="920"/>
      <c r="X15" s="920"/>
      <c r="Y15" s="920"/>
      <c r="Z15" s="924" t="str">
        <f>IF(Z7=0,"Select a Project State","")</f>
        <v>Select a Project State</v>
      </c>
      <c r="AA15" s="82"/>
      <c r="AB15" s="82"/>
      <c r="AC15" s="82"/>
      <c r="AD15" s="82"/>
      <c r="AE15" s="82" t="s">
        <v>397</v>
      </c>
      <c r="AF15" s="221" t="s">
        <v>171</v>
      </c>
      <c r="AG15" s="82"/>
      <c r="AH15" s="82"/>
      <c r="AI15" s="221" t="s">
        <v>206</v>
      </c>
      <c r="AJ15" s="221" t="s">
        <v>248</v>
      </c>
      <c r="AK15" s="221" t="s">
        <v>299</v>
      </c>
      <c r="AL15" s="221" t="s">
        <v>329</v>
      </c>
      <c r="AM15" s="221" t="s">
        <v>216</v>
      </c>
      <c r="AN15" s="221" t="s">
        <v>380</v>
      </c>
      <c r="AO15" s="82"/>
      <c r="AP15" s="82"/>
      <c r="AQ15" s="82"/>
      <c r="AR15" s="82"/>
    </row>
    <row r="16" spans="2:44" s="76" customFormat="1" ht="12.75" customHeight="1">
      <c r="B16" s="2025" t="s">
        <v>901</v>
      </c>
      <c r="C16" s="2025"/>
      <c r="D16" s="2025"/>
      <c r="E16" s="2025"/>
      <c r="G16" s="1002" t="s">
        <v>714</v>
      </c>
      <c r="H16" s="1008" t="str">
        <f>IF($D$14="Not Listed",$K16*0.7,AB70)</f>
        <v/>
      </c>
      <c r="I16" s="1008" t="str">
        <f>IF($D$14="Not Listed",$K16*0.8,AC70)</f>
        <v/>
      </c>
      <c r="J16" s="1008" t="str">
        <f>IF($D$14="Not Listed",$K16*0.9,AD70)</f>
        <v/>
      </c>
      <c r="K16" s="1008" t="str">
        <f>IF($D$14="Not Listed",$K$15*2*0.6,IF(D14="Select a State","",AE70))</f>
        <v/>
      </c>
      <c r="L16" s="1008" t="str">
        <f>IF($D$14="Not Listed",$K16*1.08,AF70)</f>
        <v/>
      </c>
      <c r="M16" s="1008" t="str">
        <f>IF($D$14="Not Listed",$K16*1.16,AG70)</f>
        <v/>
      </c>
      <c r="N16" s="1008" t="str">
        <f>IF($D$14="Not Listed",$K16*1.24,AH70)</f>
        <v/>
      </c>
      <c r="O16" s="1008" t="str">
        <f>IF($D$14="Not Listed",$K16*1.32,AI70)</f>
        <v/>
      </c>
      <c r="P16" s="923" t="str">
        <f t="shared" si="0"/>
        <v/>
      </c>
      <c r="Q16" s="923" t="str">
        <f t="shared" si="1"/>
        <v/>
      </c>
      <c r="R16" s="82"/>
      <c r="S16" s="82"/>
      <c r="T16" s="800">
        <f>IF(D18&lt;&gt;"",1,0)</f>
        <v>0</v>
      </c>
      <c r="U16" s="800">
        <f>IF(D19&lt;&gt;"",1,0)</f>
        <v>0</v>
      </c>
      <c r="V16" s="800">
        <f>SUM(T16:U16)</f>
        <v>0</v>
      </c>
      <c r="W16" s="920"/>
      <c r="X16" s="920"/>
      <c r="Y16" s="920"/>
      <c r="Z16" s="82"/>
      <c r="AA16" s="82"/>
      <c r="AB16" s="82"/>
      <c r="AC16" s="82"/>
      <c r="AD16" s="82"/>
      <c r="AE16" s="82" t="s">
        <v>103</v>
      </c>
      <c r="AF16" s="221" t="s">
        <v>172</v>
      </c>
      <c r="AG16" s="82"/>
      <c r="AH16" s="82"/>
      <c r="AI16" s="221" t="s">
        <v>207</v>
      </c>
      <c r="AJ16" s="221" t="s">
        <v>249</v>
      </c>
      <c r="AK16" s="221" t="s">
        <v>300</v>
      </c>
      <c r="AL16" s="221" t="s">
        <v>330</v>
      </c>
      <c r="AM16" s="221" t="s">
        <v>254</v>
      </c>
      <c r="AN16" s="221" t="s">
        <v>227</v>
      </c>
      <c r="AO16" s="82"/>
      <c r="AP16" s="82"/>
      <c r="AQ16" s="82"/>
      <c r="AR16" s="82"/>
    </row>
    <row r="17" spans="2:44" s="76" customFormat="1" ht="12.75" customHeight="1">
      <c r="B17" s="2025"/>
      <c r="C17" s="2025"/>
      <c r="D17" s="2025"/>
      <c r="E17" s="2025"/>
      <c r="G17" s="1002" t="s">
        <v>715</v>
      </c>
      <c r="H17" s="1008" t="str">
        <f>IF($D$14="Not Listed",$K17*0.7,AB71)</f>
        <v/>
      </c>
      <c r="I17" s="1008" t="str">
        <f>IF($D$14="Not Listed",$K17*0.8,AC71)</f>
        <v/>
      </c>
      <c r="J17" s="1008" t="str">
        <f>IF($D$14="Not Listed",$K17*0.9,AD71)</f>
        <v/>
      </c>
      <c r="K17" s="1008" t="str">
        <f>IF($D$14="Not Listed",$K$15*2*0.7,IF(D14="Select a State","",AE71))</f>
        <v/>
      </c>
      <c r="L17" s="1008" t="str">
        <f>IF($D$14="Not Listed",$K17*1.08,AF71)</f>
        <v/>
      </c>
      <c r="M17" s="1008" t="str">
        <f>IF($D$14="Not Listed",$K17*1.16,AG71)</f>
        <v/>
      </c>
      <c r="N17" s="1008" t="str">
        <f>IF($D$14="Not Listed",$K17*1.24,AH71)</f>
        <v/>
      </c>
      <c r="O17" s="1008" t="str">
        <f>IF($D$14="Not Listed",$K17*1.32,AI71)</f>
        <v/>
      </c>
      <c r="P17" s="923" t="str">
        <f t="shared" si="0"/>
        <v/>
      </c>
      <c r="Q17" s="923" t="str">
        <f t="shared" si="1"/>
        <v/>
      </c>
      <c r="R17" s="82"/>
      <c r="S17" s="82"/>
      <c r="T17" s="87">
        <f>IF(D14&lt;&gt;"",1,0)</f>
        <v>0</v>
      </c>
      <c r="U17" s="925">
        <f>IF(OR(D15="",D15=AE4),0,1)</f>
        <v>0</v>
      </c>
      <c r="V17" s="800">
        <f>IF(D14="NAHASDA",2,T17+U17)</f>
        <v>0</v>
      </c>
      <c r="W17" s="920"/>
      <c r="X17" s="920"/>
      <c r="Y17" s="920"/>
      <c r="Z17" s="82"/>
      <c r="AA17" s="82"/>
      <c r="AB17" s="82"/>
      <c r="AC17" s="82"/>
      <c r="AD17" s="82"/>
      <c r="AE17" s="82"/>
      <c r="AF17" s="221" t="s">
        <v>173</v>
      </c>
      <c r="AG17" s="82"/>
      <c r="AH17" s="82"/>
      <c r="AI17" s="221" t="s">
        <v>208</v>
      </c>
      <c r="AJ17" s="221" t="s">
        <v>250</v>
      </c>
      <c r="AK17" s="221" t="s">
        <v>301</v>
      </c>
      <c r="AL17" s="221" t="s">
        <v>331</v>
      </c>
      <c r="AM17" s="221" t="s">
        <v>300</v>
      </c>
      <c r="AN17" s="221" t="s">
        <v>381</v>
      </c>
      <c r="AO17" s="82"/>
      <c r="AP17" s="82"/>
      <c r="AQ17" s="82"/>
      <c r="AR17" s="82"/>
    </row>
    <row r="18" spans="2:44" s="76" customFormat="1" ht="12.75" customHeight="1">
      <c r="B18" s="77"/>
      <c r="C18" s="442" t="s">
        <v>807</v>
      </c>
      <c r="D18" s="576"/>
      <c r="G18" s="1003" t="s">
        <v>716</v>
      </c>
      <c r="H18" s="1008" t="str">
        <f>IF($D$14="Not Listed",$K18*0.7,AB72)</f>
        <v/>
      </c>
      <c r="I18" s="1008" t="str">
        <f>IF($D$14="Not Listed",$K18*0.8,AC72)</f>
        <v/>
      </c>
      <c r="J18" s="1008" t="str">
        <f>IF($D$14="Not Listed",$K18*0.9,AD72)</f>
        <v/>
      </c>
      <c r="K18" s="1008" t="str">
        <f>IF($D$14="Not Listed",$K$15*2*0.8,IF(D14="Select a State","",AE72))</f>
        <v/>
      </c>
      <c r="L18" s="1008" t="str">
        <f>IF($D$14="Not Listed",$K18*1.08,AF72)</f>
        <v/>
      </c>
      <c r="M18" s="1008" t="str">
        <f>IF($D$14="Not Listed",$K18*1.16,AG72)</f>
        <v/>
      </c>
      <c r="N18" s="1008" t="str">
        <f>IF($D$14="Not Listed",$K18*1.24,AH72)</f>
        <v/>
      </c>
      <c r="O18" s="1008" t="str">
        <f>IF($D$14="Not Listed",$K18*1.32,AI72)</f>
        <v/>
      </c>
      <c r="P18" s="923" t="str">
        <f t="shared" si="0"/>
        <v/>
      </c>
      <c r="Q18" s="923" t="str">
        <f t="shared" si="1"/>
        <v/>
      </c>
      <c r="R18" s="82"/>
      <c r="S18" s="82"/>
      <c r="T18" s="82"/>
      <c r="U18" s="82"/>
      <c r="V18" s="82"/>
      <c r="W18" s="920"/>
      <c r="X18" s="920"/>
      <c r="Y18" s="920"/>
      <c r="Z18" s="82"/>
      <c r="AA18" s="82"/>
      <c r="AB18" s="82"/>
      <c r="AC18" s="82"/>
      <c r="AD18" s="82"/>
      <c r="AE18" s="82"/>
      <c r="AF18" s="221" t="s">
        <v>174</v>
      </c>
      <c r="AG18" s="82"/>
      <c r="AH18" s="82"/>
      <c r="AI18" s="221" t="s">
        <v>209</v>
      </c>
      <c r="AJ18" s="221" t="s">
        <v>251</v>
      </c>
      <c r="AK18" s="221" t="s">
        <v>302</v>
      </c>
      <c r="AL18" s="221" t="s">
        <v>332</v>
      </c>
      <c r="AM18" s="221" t="s">
        <v>352</v>
      </c>
      <c r="AN18" s="221" t="s">
        <v>382</v>
      </c>
      <c r="AO18" s="82"/>
      <c r="AP18" s="82"/>
      <c r="AQ18" s="82"/>
      <c r="AR18" s="82"/>
    </row>
    <row r="19" spans="2:44" s="76" customFormat="1" ht="12.75" customHeight="1">
      <c r="B19" s="77"/>
      <c r="C19" s="442" t="s">
        <v>806</v>
      </c>
      <c r="D19" s="2030"/>
      <c r="E19" s="2031"/>
      <c r="F19" s="41"/>
      <c r="G19" s="41"/>
      <c r="P19" s="82"/>
      <c r="Q19" s="82"/>
      <c r="R19" s="82"/>
      <c r="S19" s="82"/>
      <c r="T19" s="82"/>
      <c r="U19" s="82"/>
      <c r="V19" s="82"/>
      <c r="W19" s="920"/>
      <c r="X19" s="920"/>
      <c r="Y19" s="920"/>
      <c r="Z19" s="82"/>
      <c r="AA19" s="82"/>
      <c r="AB19" s="82"/>
      <c r="AC19" s="82"/>
      <c r="AD19" s="82"/>
      <c r="AE19" s="82"/>
      <c r="AF19" s="221" t="s">
        <v>175</v>
      </c>
      <c r="AG19" s="82"/>
      <c r="AH19" s="82"/>
      <c r="AI19" s="221" t="s">
        <v>210</v>
      </c>
      <c r="AJ19" s="221" t="s">
        <v>252</v>
      </c>
      <c r="AK19" s="221" t="s">
        <v>303</v>
      </c>
      <c r="AL19" s="221" t="s">
        <v>333</v>
      </c>
      <c r="AM19" s="221" t="s">
        <v>353</v>
      </c>
      <c r="AN19" s="221" t="s">
        <v>268</v>
      </c>
      <c r="AO19" s="82"/>
      <c r="AP19" s="82"/>
      <c r="AQ19" s="82"/>
      <c r="AR19" s="82"/>
    </row>
    <row r="20" spans="2:44" s="76" customFormat="1" ht="14.25" customHeight="1">
      <c r="C20" s="1948" t="str">
        <f>IF(AND(D14="Not Listed",D18&lt;&gt;"",D19&lt;&gt;""),"Four Person 50% AMI for "&amp;X5&amp;":","Four Person 50% AMI:")</f>
        <v>Four Person 50% AMI:</v>
      </c>
      <c r="D20" s="2026"/>
      <c r="E20" s="501"/>
      <c r="I20" s="634"/>
      <c r="J20" s="634"/>
      <c r="O20" s="634"/>
      <c r="P20" s="926"/>
      <c r="Q20" s="927"/>
      <c r="R20" s="800"/>
      <c r="S20" s="82"/>
      <c r="T20" s="87"/>
      <c r="U20" s="87"/>
      <c r="V20" s="82"/>
      <c r="W20" s="920"/>
      <c r="X20" s="920"/>
      <c r="Y20" s="920"/>
      <c r="Z20" s="82"/>
      <c r="AA20" s="82"/>
      <c r="AB20" s="82"/>
      <c r="AC20" s="82"/>
      <c r="AD20" s="82"/>
      <c r="AE20" s="82"/>
      <c r="AF20" s="221" t="s">
        <v>176</v>
      </c>
      <c r="AG20" s="82"/>
      <c r="AH20" s="82"/>
      <c r="AI20" s="221" t="s">
        <v>211</v>
      </c>
      <c r="AJ20" s="221" t="s">
        <v>253</v>
      </c>
      <c r="AK20" s="221" t="s">
        <v>221</v>
      </c>
      <c r="AL20" s="221" t="s">
        <v>334</v>
      </c>
      <c r="AM20" s="221" t="s">
        <v>221</v>
      </c>
      <c r="AN20" s="221" t="s">
        <v>383</v>
      </c>
      <c r="AO20" s="82"/>
      <c r="AP20" s="82"/>
      <c r="AQ20" s="82"/>
      <c r="AR20" s="82"/>
    </row>
    <row r="21" spans="2:44" s="76" customFormat="1" ht="3" customHeight="1">
      <c r="B21" s="77"/>
      <c r="N21" s="229"/>
      <c r="P21" s="82"/>
      <c r="Q21" s="928"/>
      <c r="R21" s="82"/>
      <c r="S21" s="82"/>
      <c r="T21" s="82"/>
      <c r="U21" s="82"/>
      <c r="V21" s="82"/>
      <c r="W21" s="920"/>
      <c r="X21" s="920"/>
      <c r="Y21" s="920"/>
      <c r="Z21" s="82"/>
      <c r="AA21" s="82"/>
      <c r="AB21" s="82"/>
      <c r="AC21" s="82"/>
      <c r="AD21" s="82"/>
      <c r="AE21" s="82"/>
      <c r="AF21" s="221" t="s">
        <v>177</v>
      </c>
      <c r="AG21" s="82"/>
      <c r="AH21" s="82"/>
      <c r="AI21" s="221" t="s">
        <v>212</v>
      </c>
      <c r="AJ21" s="221" t="s">
        <v>254</v>
      </c>
      <c r="AK21" s="221" t="s">
        <v>304</v>
      </c>
      <c r="AL21" s="221" t="s">
        <v>335</v>
      </c>
      <c r="AM21" s="221" t="s">
        <v>354</v>
      </c>
      <c r="AN21" s="221" t="s">
        <v>280</v>
      </c>
      <c r="AO21" s="82"/>
      <c r="AP21" s="82"/>
      <c r="AQ21" s="82"/>
      <c r="AR21" s="82"/>
    </row>
    <row r="22" spans="2:44" s="76" customFormat="1" ht="3" customHeight="1">
      <c r="B22" s="77"/>
      <c r="N22" s="77"/>
      <c r="P22" s="82"/>
      <c r="Q22" s="928"/>
      <c r="R22" s="82"/>
      <c r="S22" s="82"/>
      <c r="T22" s="82"/>
      <c r="U22" s="82"/>
      <c r="V22" s="82"/>
      <c r="W22" s="920"/>
      <c r="X22" s="920"/>
      <c r="Y22" s="920"/>
      <c r="Z22" s="82"/>
      <c r="AA22" s="82"/>
      <c r="AB22" s="82"/>
      <c r="AC22" s="82"/>
      <c r="AD22" s="82"/>
      <c r="AE22" s="82"/>
      <c r="AF22" s="221" t="s">
        <v>178</v>
      </c>
      <c r="AG22" s="82"/>
      <c r="AH22" s="82"/>
      <c r="AI22" s="221" t="s">
        <v>213</v>
      </c>
      <c r="AJ22" s="221" t="s">
        <v>255</v>
      </c>
      <c r="AK22" s="221" t="s">
        <v>305</v>
      </c>
      <c r="AL22" s="221" t="s">
        <v>336</v>
      </c>
      <c r="AM22" s="221" t="s">
        <v>355</v>
      </c>
      <c r="AN22" s="221" t="s">
        <v>384</v>
      </c>
      <c r="AO22" s="82"/>
      <c r="AP22" s="82"/>
      <c r="AQ22" s="82"/>
      <c r="AR22" s="82"/>
    </row>
    <row r="23" spans="2:44" ht="12.75" customHeight="1">
      <c r="B23" s="1938" t="str">
        <f>IF(F23="","Input the Number of Units Reserved for Special Needs:","Number Units Reserved for Special Needs:")</f>
        <v>Input the Number of Units Reserved for Special Needs:</v>
      </c>
      <c r="C23" s="1938"/>
      <c r="D23" s="1938"/>
      <c r="E23" s="1938"/>
      <c r="F23" s="2027"/>
      <c r="G23" s="2028"/>
      <c r="H23" s="982" t="str">
        <f>IFERROR(F23/J62,"")</f>
        <v/>
      </c>
      <c r="J23" s="1938" t="str">
        <f>IF(N23="","Input the Number of Units Reserved for Homeless:","Number Units Reserved for Homeless:")</f>
        <v>Input the Number of Units Reserved for Homeless:</v>
      </c>
      <c r="K23" s="1938"/>
      <c r="L23" s="1938"/>
      <c r="M23" s="1938"/>
      <c r="N23" s="1000"/>
      <c r="O23" s="982" t="str">
        <f>IFERROR(ROUND(N23/J62,2),"")</f>
        <v/>
      </c>
      <c r="Q23" s="928"/>
      <c r="R23" s="929"/>
      <c r="W23" s="920"/>
      <c r="X23" s="920"/>
      <c r="Y23" s="920"/>
      <c r="AF23" s="218" t="s">
        <v>179</v>
      </c>
      <c r="AI23" s="218" t="s">
        <v>214</v>
      </c>
      <c r="AJ23" s="218" t="s">
        <v>256</v>
      </c>
      <c r="AK23" s="218" t="s">
        <v>260</v>
      </c>
      <c r="AL23" s="218" t="s">
        <v>337</v>
      </c>
      <c r="AM23" s="218" t="s">
        <v>356</v>
      </c>
      <c r="AN23" s="218" t="s">
        <v>385</v>
      </c>
    </row>
    <row r="24" spans="2:44" ht="6" customHeight="1">
      <c r="B24" s="15"/>
      <c r="C24" s="40"/>
      <c r="D24" s="278"/>
      <c r="E24" s="40"/>
      <c r="F24" s="40"/>
      <c r="G24" s="40"/>
      <c r="H24" s="40"/>
      <c r="I24" s="417"/>
      <c r="J24" s="417"/>
      <c r="K24" s="417"/>
      <c r="L24" s="417"/>
      <c r="M24" s="417"/>
      <c r="N24" s="417"/>
      <c r="O24" s="417"/>
      <c r="W24" s="82"/>
      <c r="X24" s="82"/>
      <c r="Y24" s="82"/>
      <c r="AF24" s="218" t="s">
        <v>180</v>
      </c>
      <c r="AI24" s="218" t="s">
        <v>215</v>
      </c>
      <c r="AJ24" s="218" t="s">
        <v>257</v>
      </c>
      <c r="AK24" s="218" t="s">
        <v>306</v>
      </c>
      <c r="AL24" s="218" t="s">
        <v>338</v>
      </c>
      <c r="AM24" s="218" t="s">
        <v>357</v>
      </c>
      <c r="AN24" s="218" t="s">
        <v>236</v>
      </c>
    </row>
    <row r="25" spans="2:44" ht="13.5" customHeight="1">
      <c r="B25" s="2032" t="s">
        <v>730</v>
      </c>
      <c r="C25" s="2032" t="s">
        <v>153</v>
      </c>
      <c r="D25" s="2032" t="s">
        <v>728</v>
      </c>
      <c r="E25" s="2032" t="s">
        <v>679</v>
      </c>
      <c r="F25" s="2032" t="s">
        <v>48</v>
      </c>
      <c r="G25" s="2032"/>
      <c r="H25" s="2032" t="s">
        <v>938</v>
      </c>
      <c r="I25" s="2032" t="s">
        <v>884</v>
      </c>
      <c r="J25" s="2032" t="s">
        <v>939</v>
      </c>
      <c r="K25" s="2032" t="s">
        <v>940</v>
      </c>
      <c r="L25" s="2032" t="s">
        <v>941</v>
      </c>
      <c r="M25" s="2032" t="s">
        <v>942</v>
      </c>
      <c r="N25" s="2032" t="s">
        <v>943</v>
      </c>
      <c r="O25" s="2032" t="s">
        <v>804</v>
      </c>
      <c r="P25" s="2034"/>
      <c r="R25" s="930"/>
      <c r="S25" s="99"/>
      <c r="T25" s="930"/>
      <c r="W25" s="82"/>
      <c r="X25" s="82"/>
      <c r="Y25" s="82"/>
      <c r="AF25" s="218" t="s">
        <v>181</v>
      </c>
      <c r="AI25" s="218" t="s">
        <v>216</v>
      </c>
      <c r="AJ25" s="218" t="s">
        <v>258</v>
      </c>
      <c r="AK25" s="218" t="s">
        <v>227</v>
      </c>
      <c r="AL25" s="218" t="s">
        <v>339</v>
      </c>
      <c r="AM25" s="218" t="s">
        <v>226</v>
      </c>
      <c r="AN25" s="218" t="s">
        <v>386</v>
      </c>
    </row>
    <row r="26" spans="2:44" ht="45.75" customHeight="1">
      <c r="B26" s="2033"/>
      <c r="C26" s="2033"/>
      <c r="D26" s="2033"/>
      <c r="E26" s="2033"/>
      <c r="F26" s="2033"/>
      <c r="G26" s="2033"/>
      <c r="H26" s="2033"/>
      <c r="I26" s="2033"/>
      <c r="J26" s="2033"/>
      <c r="K26" s="2033"/>
      <c r="L26" s="2033"/>
      <c r="M26" s="2033"/>
      <c r="N26" s="2033"/>
      <c r="O26" s="2033"/>
      <c r="P26" s="2034"/>
      <c r="R26" s="930"/>
      <c r="S26" s="99"/>
      <c r="T26" s="930"/>
      <c r="W26" s="82"/>
      <c r="X26" s="800"/>
      <c r="Y26" s="82"/>
      <c r="Z26" s="82"/>
      <c r="AA26" s="233" t="s">
        <v>707</v>
      </c>
      <c r="AB26" s="234" t="s">
        <v>706</v>
      </c>
      <c r="AF26" s="218" t="s">
        <v>182</v>
      </c>
      <c r="AI26" s="218" t="s">
        <v>217</v>
      </c>
      <c r="AJ26" s="218" t="s">
        <v>221</v>
      </c>
      <c r="AK26" s="218" t="s">
        <v>307</v>
      </c>
      <c r="AL26" s="218" t="s">
        <v>340</v>
      </c>
      <c r="AM26" s="218" t="s">
        <v>227</v>
      </c>
      <c r="AN26" s="218" t="s">
        <v>387</v>
      </c>
    </row>
    <row r="27" spans="2:44" s="76" customFormat="1" ht="12.75" customHeight="1">
      <c r="B27" s="681"/>
      <c r="C27" s="381"/>
      <c r="D27" s="380"/>
      <c r="E27" s="682"/>
      <c r="F27" s="2020" t="str">
        <f>IFERROR(VLOOKUP(B27,$G$14:$Q$18,MATCH( E27,$G$13:$Q$13,0), FALSE),"")</f>
        <v/>
      </c>
      <c r="G27" s="2021"/>
      <c r="H27" s="752"/>
      <c r="I27" s="755"/>
      <c r="J27" s="709"/>
      <c r="K27" s="690"/>
      <c r="L27" s="1015" t="str">
        <f>IFERROR(IF(I27&lt;&gt;"",(PMT(J27/12,K27,I27)*-1),""),"")</f>
        <v/>
      </c>
      <c r="M27" s="692"/>
      <c r="N27" s="1009" t="str">
        <f>IFERROR((L27+M27)*12,"")</f>
        <v/>
      </c>
      <c r="O27" s="1010" t="str">
        <f>IFERROR(IF(F27&lt;&gt;"",(+N27/F27),""),"")</f>
        <v/>
      </c>
      <c r="P27" s="931"/>
      <c r="Q27" s="82"/>
      <c r="R27" s="932">
        <f>IF(B27=$AF$44,1,IF(B27=$AF$45,2,IF(B27=$AF$46,3,IF(B27=$AF$47,4,IF(B27=$AF$48,5,IF(B27=$AF$49,6,0))))))</f>
        <v>0</v>
      </c>
      <c r="S27" s="933">
        <f>D27*H27</f>
        <v>0</v>
      </c>
      <c r="T27" s="661">
        <f>D27*I27</f>
        <v>0</v>
      </c>
      <c r="U27" s="82">
        <f>D27*K27</f>
        <v>0</v>
      </c>
      <c r="V27" s="82"/>
      <c r="W27" s="82"/>
      <c r="X27" s="82"/>
      <c r="Y27" s="82"/>
      <c r="Z27" s="82"/>
      <c r="AA27" s="279" t="str">
        <f>IF(C27=$AG$44,1,IF(C27=$AG$45,2,IF(C27=$AG$46,3,IF(C27=$AG$47,4,IF(C27=$AG$48,5,"0")))))</f>
        <v>0</v>
      </c>
      <c r="AB27" s="280">
        <f t="shared" ref="AB27:AB53" si="2">IF(B27=$AF$44,1,IF(B27=$AF$45,2,IF(B27=$AF$46,3,IF(B27=$AF$47,4,IF(B27=$AF$48,5,IF(B27=$AF$49,6,0))))))</f>
        <v>0</v>
      </c>
      <c r="AC27" s="82"/>
      <c r="AD27" s="82"/>
      <c r="AE27" s="82"/>
      <c r="AF27" s="221" t="s">
        <v>183</v>
      </c>
      <c r="AG27" s="82"/>
      <c r="AH27" s="82"/>
      <c r="AI27" s="221" t="s">
        <v>218</v>
      </c>
      <c r="AJ27" s="221" t="s">
        <v>259</v>
      </c>
      <c r="AK27" s="221" t="s">
        <v>308</v>
      </c>
      <c r="AL27" s="221" t="s">
        <v>341</v>
      </c>
      <c r="AM27" s="221" t="s">
        <v>358</v>
      </c>
      <c r="AN27" s="221" t="s">
        <v>388</v>
      </c>
      <c r="AO27" s="82"/>
      <c r="AP27" s="82"/>
      <c r="AQ27" s="82"/>
      <c r="AR27" s="82"/>
    </row>
    <row r="28" spans="2:44" s="76" customFormat="1" ht="12.75" customHeight="1">
      <c r="B28" s="683"/>
      <c r="C28" s="382"/>
      <c r="D28" s="363"/>
      <c r="E28" s="684"/>
      <c r="F28" s="2020" t="str">
        <f t="shared" ref="F28:F53" si="3">IFERROR(VLOOKUP(B28,$G$14:$Q$18,MATCH( E28,$G$13:$Q$13,0), FALSE),"")</f>
        <v/>
      </c>
      <c r="G28" s="2021"/>
      <c r="H28" s="753"/>
      <c r="I28" s="102"/>
      <c r="J28" s="710"/>
      <c r="K28" s="691"/>
      <c r="L28" s="1016" t="str">
        <f t="shared" ref="L28:L44" si="4">IFERROR(IF(I28&lt;&gt;"",(PMT(J28/12,K28,I28)*-1),""),"")</f>
        <v/>
      </c>
      <c r="M28" s="693"/>
      <c r="N28" s="1011" t="str">
        <f t="shared" ref="N28:N44" si="5">IFERROR((L28+M28)*12,"")</f>
        <v/>
      </c>
      <c r="O28" s="1012" t="str">
        <f t="shared" ref="O28:O53" si="6">IFERROR(IF(F28&lt;&gt;"",(+N28/F28),""),"")</f>
        <v/>
      </c>
      <c r="P28" s="931"/>
      <c r="Q28" s="82"/>
      <c r="R28" s="932">
        <f t="shared" ref="R28:R53" si="7">IF(B28=$AF$44,1,IF(B28=$AF$45,2,IF(B28=$AF$46,3,IF(B28=$AF$47,4,IF(B28=$AF$48,5,IF(B28=$AF$49,6,0))))))</f>
        <v>0</v>
      </c>
      <c r="S28" s="933">
        <f t="shared" ref="S28:S44" si="8">D28*H28</f>
        <v>0</v>
      </c>
      <c r="T28" s="661">
        <f t="shared" ref="T28:T44" si="9">D28*I28</f>
        <v>0</v>
      </c>
      <c r="U28" s="82">
        <f t="shared" ref="U28:U44" si="10">D28*K28</f>
        <v>0</v>
      </c>
      <c r="V28" s="82"/>
      <c r="W28" s="82"/>
      <c r="X28" s="82"/>
      <c r="Y28" s="82"/>
      <c r="Z28" s="52"/>
      <c r="AA28" s="279" t="str">
        <f t="shared" ref="AA28:AA53" si="11">IF(C28=$AG$44,1,IF(C28=$AG$45,2,IF(C28=$AG$46,3,IF(C28=$AG$47,4,IF(C28=$AG$48,5,"0")))))</f>
        <v>0</v>
      </c>
      <c r="AB28" s="280">
        <f t="shared" si="2"/>
        <v>0</v>
      </c>
      <c r="AC28" s="82"/>
      <c r="AD28" s="82"/>
      <c r="AE28" s="82"/>
      <c r="AF28" s="221" t="s">
        <v>184</v>
      </c>
      <c r="AG28" s="82"/>
      <c r="AH28" s="82"/>
      <c r="AI28" s="221" t="s">
        <v>219</v>
      </c>
      <c r="AJ28" s="221" t="s">
        <v>260</v>
      </c>
      <c r="AK28" s="221" t="s">
        <v>309</v>
      </c>
      <c r="AL28" s="221" t="s">
        <v>342</v>
      </c>
      <c r="AM28" s="221" t="s">
        <v>359</v>
      </c>
      <c r="AN28" s="82"/>
      <c r="AO28" s="82"/>
      <c r="AP28" s="82"/>
      <c r="AQ28" s="82"/>
      <c r="AR28" s="82"/>
    </row>
    <row r="29" spans="2:44" s="76" customFormat="1" ht="12.75" customHeight="1">
      <c r="B29" s="683"/>
      <c r="C29" s="382"/>
      <c r="D29" s="363"/>
      <c r="E29" s="684"/>
      <c r="F29" s="2020" t="str">
        <f t="shared" si="3"/>
        <v/>
      </c>
      <c r="G29" s="2021"/>
      <c r="H29" s="753"/>
      <c r="I29" s="102"/>
      <c r="J29" s="710"/>
      <c r="K29" s="691"/>
      <c r="L29" s="1016" t="str">
        <f t="shared" si="4"/>
        <v/>
      </c>
      <c r="M29" s="693"/>
      <c r="N29" s="1011" t="str">
        <f t="shared" si="5"/>
        <v/>
      </c>
      <c r="O29" s="1012" t="str">
        <f t="shared" si="6"/>
        <v/>
      </c>
      <c r="P29" s="931"/>
      <c r="Q29" s="82"/>
      <c r="R29" s="932">
        <f t="shared" si="7"/>
        <v>0</v>
      </c>
      <c r="S29" s="933">
        <f t="shared" si="8"/>
        <v>0</v>
      </c>
      <c r="T29" s="661">
        <f t="shared" si="9"/>
        <v>0</v>
      </c>
      <c r="U29" s="82">
        <f t="shared" si="10"/>
        <v>0</v>
      </c>
      <c r="V29" s="82"/>
      <c r="W29" s="82"/>
      <c r="X29" s="82"/>
      <c r="Y29" s="82"/>
      <c r="Z29" s="82"/>
      <c r="AA29" s="279" t="str">
        <f t="shared" si="11"/>
        <v>0</v>
      </c>
      <c r="AB29" s="280">
        <f t="shared" si="2"/>
        <v>0</v>
      </c>
      <c r="AC29" s="46"/>
      <c r="AD29" s="46"/>
      <c r="AE29" s="82"/>
      <c r="AF29" s="221" t="s">
        <v>185</v>
      </c>
      <c r="AG29" s="82"/>
      <c r="AH29" s="82"/>
      <c r="AI29" s="221" t="s">
        <v>220</v>
      </c>
      <c r="AJ29" s="221" t="s">
        <v>261</v>
      </c>
      <c r="AK29" s="221" t="s">
        <v>310</v>
      </c>
      <c r="AL29" s="221" t="s">
        <v>343</v>
      </c>
      <c r="AM29" s="221" t="s">
        <v>360</v>
      </c>
      <c r="AN29" s="82"/>
      <c r="AO29" s="82"/>
      <c r="AP29" s="82"/>
      <c r="AQ29" s="82"/>
      <c r="AR29" s="82"/>
    </row>
    <row r="30" spans="2:44" s="76" customFormat="1" ht="12.75" customHeight="1">
      <c r="B30" s="685"/>
      <c r="C30" s="382"/>
      <c r="D30" s="363"/>
      <c r="E30" s="684"/>
      <c r="F30" s="2020" t="str">
        <f t="shared" si="3"/>
        <v/>
      </c>
      <c r="G30" s="2021"/>
      <c r="H30" s="753"/>
      <c r="I30" s="102"/>
      <c r="J30" s="710"/>
      <c r="K30" s="691"/>
      <c r="L30" s="1016" t="str">
        <f>IFERROR(IF(I30&lt;&gt;"",(PMT(J30/12,K30,I30)*-1),""),"")</f>
        <v/>
      </c>
      <c r="M30" s="693"/>
      <c r="N30" s="1011" t="str">
        <f>IFERROR((L30+M30)*12,"")</f>
        <v/>
      </c>
      <c r="O30" s="1012" t="str">
        <f>IFERROR(IF(F30&lt;&gt;"",(+N30/F30),""),"")</f>
        <v/>
      </c>
      <c r="P30" s="931"/>
      <c r="Q30" s="82"/>
      <c r="R30" s="932">
        <f t="shared" si="7"/>
        <v>0</v>
      </c>
      <c r="S30" s="933">
        <f t="shared" si="8"/>
        <v>0</v>
      </c>
      <c r="T30" s="661">
        <f t="shared" si="9"/>
        <v>0</v>
      </c>
      <c r="U30" s="82">
        <f t="shared" si="10"/>
        <v>0</v>
      </c>
      <c r="V30" s="82"/>
      <c r="W30" s="87"/>
      <c r="X30" s="82"/>
      <c r="Y30" s="87"/>
      <c r="Z30" s="82"/>
      <c r="AA30" s="279" t="str">
        <f t="shared" si="11"/>
        <v>0</v>
      </c>
      <c r="AB30" s="280">
        <f t="shared" si="2"/>
        <v>0</v>
      </c>
      <c r="AC30" s="82"/>
      <c r="AD30" s="82"/>
      <c r="AE30" s="82"/>
      <c r="AF30" s="221" t="s">
        <v>186</v>
      </c>
      <c r="AG30" s="82"/>
      <c r="AH30" s="82"/>
      <c r="AI30" s="221" t="s">
        <v>221</v>
      </c>
      <c r="AJ30" s="221" t="s">
        <v>262</v>
      </c>
      <c r="AK30" s="221" t="s">
        <v>311</v>
      </c>
      <c r="AL30" s="221" t="s">
        <v>344</v>
      </c>
      <c r="AM30" s="221" t="s">
        <v>361</v>
      </c>
      <c r="AN30" s="82"/>
      <c r="AO30" s="82"/>
      <c r="AP30" s="82"/>
      <c r="AQ30" s="82"/>
      <c r="AR30" s="82"/>
    </row>
    <row r="31" spans="2:44" s="76" customFormat="1" ht="12.75" customHeight="1">
      <c r="B31" s="685"/>
      <c r="C31" s="382"/>
      <c r="D31" s="363"/>
      <c r="E31" s="684"/>
      <c r="F31" s="2020" t="str">
        <f t="shared" si="3"/>
        <v/>
      </c>
      <c r="G31" s="2021"/>
      <c r="H31" s="753"/>
      <c r="I31" s="102"/>
      <c r="J31" s="710"/>
      <c r="K31" s="691"/>
      <c r="L31" s="1016" t="str">
        <f t="shared" si="4"/>
        <v/>
      </c>
      <c r="M31" s="693"/>
      <c r="N31" s="1011" t="str">
        <f t="shared" si="5"/>
        <v/>
      </c>
      <c r="O31" s="1012" t="str">
        <f t="shared" si="6"/>
        <v/>
      </c>
      <c r="P31" s="931"/>
      <c r="Q31" s="82"/>
      <c r="R31" s="932">
        <f t="shared" si="7"/>
        <v>0</v>
      </c>
      <c r="S31" s="933">
        <f t="shared" si="8"/>
        <v>0</v>
      </c>
      <c r="T31" s="661">
        <f t="shared" si="9"/>
        <v>0</v>
      </c>
      <c r="U31" s="82">
        <f t="shared" si="10"/>
        <v>0</v>
      </c>
      <c r="V31" s="82"/>
      <c r="W31" s="87"/>
      <c r="X31" s="82"/>
      <c r="Y31" s="87"/>
      <c r="Z31" s="82"/>
      <c r="AA31" s="279" t="str">
        <f t="shared" si="11"/>
        <v>0</v>
      </c>
      <c r="AB31" s="280">
        <f t="shared" si="2"/>
        <v>0</v>
      </c>
      <c r="AC31" s="82"/>
      <c r="AD31" s="82"/>
      <c r="AE31" s="82"/>
      <c r="AF31" s="221" t="s">
        <v>187</v>
      </c>
      <c r="AG31" s="82"/>
      <c r="AH31" s="82"/>
      <c r="AI31" s="221" t="s">
        <v>222</v>
      </c>
      <c r="AJ31" s="221" t="s">
        <v>227</v>
      </c>
      <c r="AK31" s="221" t="s">
        <v>312</v>
      </c>
      <c r="AL31" s="221" t="s">
        <v>239</v>
      </c>
      <c r="AM31" s="221" t="s">
        <v>362</v>
      </c>
      <c r="AN31" s="82"/>
      <c r="AO31" s="82"/>
      <c r="AP31" s="82"/>
      <c r="AQ31" s="82"/>
      <c r="AR31" s="82"/>
    </row>
    <row r="32" spans="2:44" s="76" customFormat="1" ht="12.75" customHeight="1">
      <c r="B32" s="685"/>
      <c r="C32" s="382"/>
      <c r="D32" s="363"/>
      <c r="E32" s="684"/>
      <c r="F32" s="2020" t="str">
        <f t="shared" si="3"/>
        <v/>
      </c>
      <c r="G32" s="2021"/>
      <c r="H32" s="753"/>
      <c r="I32" s="102"/>
      <c r="J32" s="710"/>
      <c r="K32" s="691"/>
      <c r="L32" s="1016" t="str">
        <f t="shared" si="4"/>
        <v/>
      </c>
      <c r="M32" s="693"/>
      <c r="N32" s="1011" t="str">
        <f t="shared" si="5"/>
        <v/>
      </c>
      <c r="O32" s="1012" t="str">
        <f t="shared" si="6"/>
        <v/>
      </c>
      <c r="P32" s="931"/>
      <c r="Q32" s="82"/>
      <c r="R32" s="932">
        <f t="shared" si="7"/>
        <v>0</v>
      </c>
      <c r="S32" s="933">
        <f t="shared" si="8"/>
        <v>0</v>
      </c>
      <c r="T32" s="661">
        <f t="shared" si="9"/>
        <v>0</v>
      </c>
      <c r="U32" s="82">
        <f t="shared" si="10"/>
        <v>0</v>
      </c>
      <c r="V32" s="82"/>
      <c r="W32" s="87"/>
      <c r="X32" s="82"/>
      <c r="Y32" s="87"/>
      <c r="Z32" s="82"/>
      <c r="AA32" s="279" t="str">
        <f t="shared" si="11"/>
        <v>0</v>
      </c>
      <c r="AB32" s="280">
        <f t="shared" si="2"/>
        <v>0</v>
      </c>
      <c r="AC32" s="82"/>
      <c r="AD32" s="82"/>
      <c r="AE32" s="46"/>
      <c r="AF32" s="221" t="s">
        <v>188</v>
      </c>
      <c r="AG32" s="82"/>
      <c r="AH32" s="82"/>
      <c r="AI32" s="221" t="s">
        <v>223</v>
      </c>
      <c r="AJ32" s="221" t="s">
        <v>263</v>
      </c>
      <c r="AK32" s="221" t="s">
        <v>313</v>
      </c>
      <c r="AL32" s="221" t="s">
        <v>345</v>
      </c>
      <c r="AM32" s="221" t="s">
        <v>337</v>
      </c>
      <c r="AN32" s="82"/>
      <c r="AO32" s="82"/>
      <c r="AP32" s="82"/>
      <c r="AQ32" s="82"/>
      <c r="AR32" s="82"/>
    </row>
    <row r="33" spans="2:44" s="76" customFormat="1" ht="12.75" customHeight="1">
      <c r="B33" s="685"/>
      <c r="C33" s="382"/>
      <c r="D33" s="363"/>
      <c r="E33" s="684"/>
      <c r="F33" s="2020" t="str">
        <f t="shared" si="3"/>
        <v/>
      </c>
      <c r="G33" s="2021"/>
      <c r="H33" s="753"/>
      <c r="I33" s="102"/>
      <c r="J33" s="710"/>
      <c r="K33" s="691"/>
      <c r="L33" s="1016" t="str">
        <f t="shared" si="4"/>
        <v/>
      </c>
      <c r="M33" s="693"/>
      <c r="N33" s="1011" t="str">
        <f t="shared" si="5"/>
        <v/>
      </c>
      <c r="O33" s="1012" t="str">
        <f t="shared" si="6"/>
        <v/>
      </c>
      <c r="P33" s="931"/>
      <c r="Q33" s="82"/>
      <c r="R33" s="932">
        <f t="shared" si="7"/>
        <v>0</v>
      </c>
      <c r="S33" s="933">
        <f t="shared" si="8"/>
        <v>0</v>
      </c>
      <c r="T33" s="661">
        <f t="shared" si="9"/>
        <v>0</v>
      </c>
      <c r="U33" s="82">
        <f t="shared" si="10"/>
        <v>0</v>
      </c>
      <c r="V33" s="82"/>
      <c r="W33" s="87"/>
      <c r="X33" s="82"/>
      <c r="Y33" s="87"/>
      <c r="Z33" s="82"/>
      <c r="AA33" s="279" t="str">
        <f t="shared" si="11"/>
        <v>0</v>
      </c>
      <c r="AB33" s="280">
        <f t="shared" si="2"/>
        <v>0</v>
      </c>
      <c r="AC33" s="82"/>
      <c r="AD33" s="82"/>
      <c r="AE33" s="82"/>
      <c r="AF33" s="221" t="s">
        <v>189</v>
      </c>
      <c r="AG33" s="46"/>
      <c r="AH33" s="46"/>
      <c r="AI33" s="221" t="s">
        <v>224</v>
      </c>
      <c r="AJ33" s="221" t="s">
        <v>228</v>
      </c>
      <c r="AK33" s="221" t="s">
        <v>314</v>
      </c>
      <c r="AL33" s="221" t="s">
        <v>346</v>
      </c>
      <c r="AM33" s="221" t="s">
        <v>363</v>
      </c>
      <c r="AN33" s="46"/>
      <c r="AO33" s="46"/>
      <c r="AP33" s="46"/>
      <c r="AQ33" s="46"/>
      <c r="AR33" s="82"/>
    </row>
    <row r="34" spans="2:44" s="119" customFormat="1" ht="12.75" customHeight="1">
      <c r="B34" s="685"/>
      <c r="C34" s="382"/>
      <c r="D34" s="363"/>
      <c r="E34" s="684"/>
      <c r="F34" s="2020" t="str">
        <f t="shared" si="3"/>
        <v/>
      </c>
      <c r="G34" s="2021"/>
      <c r="H34" s="753"/>
      <c r="I34" s="102"/>
      <c r="J34" s="710"/>
      <c r="K34" s="691"/>
      <c r="L34" s="1016" t="str">
        <f t="shared" si="4"/>
        <v/>
      </c>
      <c r="M34" s="693"/>
      <c r="N34" s="1011" t="str">
        <f t="shared" si="5"/>
        <v/>
      </c>
      <c r="O34" s="1012" t="str">
        <f t="shared" si="6"/>
        <v/>
      </c>
      <c r="P34" s="931"/>
      <c r="Q34" s="46"/>
      <c r="R34" s="932">
        <f t="shared" si="7"/>
        <v>0</v>
      </c>
      <c r="S34" s="933">
        <f t="shared" si="8"/>
        <v>0</v>
      </c>
      <c r="T34" s="661">
        <f t="shared" si="9"/>
        <v>0</v>
      </c>
      <c r="U34" s="82">
        <f t="shared" si="10"/>
        <v>0</v>
      </c>
      <c r="V34" s="46"/>
      <c r="W34" s="87"/>
      <c r="X34" s="46"/>
      <c r="Y34" s="87"/>
      <c r="Z34" s="82"/>
      <c r="AA34" s="279" t="str">
        <f t="shared" si="11"/>
        <v>0</v>
      </c>
      <c r="AB34" s="280">
        <f t="shared" si="2"/>
        <v>0</v>
      </c>
      <c r="AC34" s="82"/>
      <c r="AD34" s="82"/>
      <c r="AE34" s="82"/>
      <c r="AF34" s="82"/>
      <c r="AG34" s="82"/>
      <c r="AH34" s="82"/>
      <c r="AI34" s="221" t="s">
        <v>225</v>
      </c>
      <c r="AJ34" s="221" t="s">
        <v>264</v>
      </c>
      <c r="AK34" s="221" t="s">
        <v>315</v>
      </c>
      <c r="AL34" s="82"/>
      <c r="AM34" s="221" t="s">
        <v>364</v>
      </c>
      <c r="AN34" s="82"/>
      <c r="AO34" s="82"/>
      <c r="AP34" s="82"/>
      <c r="AQ34" s="82"/>
      <c r="AR34" s="46"/>
    </row>
    <row r="35" spans="2:44" s="76" customFormat="1" ht="12.75" customHeight="1">
      <c r="B35" s="685"/>
      <c r="C35" s="382"/>
      <c r="D35" s="363"/>
      <c r="E35" s="684"/>
      <c r="F35" s="2020" t="str">
        <f t="shared" si="3"/>
        <v/>
      </c>
      <c r="G35" s="2021"/>
      <c r="H35" s="753"/>
      <c r="I35" s="102"/>
      <c r="J35" s="710"/>
      <c r="K35" s="691"/>
      <c r="L35" s="1016" t="str">
        <f t="shared" si="4"/>
        <v/>
      </c>
      <c r="M35" s="693"/>
      <c r="N35" s="1011" t="str">
        <f t="shared" si="5"/>
        <v/>
      </c>
      <c r="O35" s="1012" t="str">
        <f t="shared" si="6"/>
        <v/>
      </c>
      <c r="P35" s="931"/>
      <c r="Q35" s="82"/>
      <c r="R35" s="932">
        <f t="shared" si="7"/>
        <v>0</v>
      </c>
      <c r="S35" s="933">
        <f t="shared" si="8"/>
        <v>0</v>
      </c>
      <c r="T35" s="661">
        <f t="shared" si="9"/>
        <v>0</v>
      </c>
      <c r="U35" s="82">
        <f t="shared" si="10"/>
        <v>0</v>
      </c>
      <c r="V35" s="82"/>
      <c r="W35" s="87"/>
      <c r="X35" s="82"/>
      <c r="Y35" s="87"/>
      <c r="Z35" s="82"/>
      <c r="AA35" s="279" t="str">
        <f t="shared" si="11"/>
        <v>0</v>
      </c>
      <c r="AB35" s="280">
        <f t="shared" si="2"/>
        <v>0</v>
      </c>
      <c r="AC35" s="82"/>
      <c r="AD35" s="82"/>
      <c r="AE35" s="82"/>
      <c r="AF35" s="82"/>
      <c r="AG35" s="82"/>
      <c r="AH35" s="82"/>
      <c r="AI35" s="221" t="s">
        <v>226</v>
      </c>
      <c r="AJ35" s="221" t="s">
        <v>265</v>
      </c>
      <c r="AK35" s="221" t="s">
        <v>316</v>
      </c>
      <c r="AL35" s="82"/>
      <c r="AM35" s="221" t="s">
        <v>365</v>
      </c>
      <c r="AN35" s="82"/>
      <c r="AO35" s="82"/>
      <c r="AP35" s="82"/>
      <c r="AQ35" s="82"/>
      <c r="AR35" s="82"/>
    </row>
    <row r="36" spans="2:44" s="76" customFormat="1" ht="12.75" customHeight="1">
      <c r="B36" s="685"/>
      <c r="C36" s="382"/>
      <c r="D36" s="363"/>
      <c r="E36" s="684"/>
      <c r="F36" s="2020" t="str">
        <f t="shared" si="3"/>
        <v/>
      </c>
      <c r="G36" s="2021"/>
      <c r="H36" s="753"/>
      <c r="I36" s="102"/>
      <c r="J36" s="710"/>
      <c r="K36" s="691"/>
      <c r="L36" s="1016" t="str">
        <f t="shared" si="4"/>
        <v/>
      </c>
      <c r="M36" s="693"/>
      <c r="N36" s="1011" t="str">
        <f t="shared" si="5"/>
        <v/>
      </c>
      <c r="O36" s="1012" t="str">
        <f t="shared" si="6"/>
        <v/>
      </c>
      <c r="P36" s="931"/>
      <c r="Q36" s="82"/>
      <c r="R36" s="932">
        <f t="shared" si="7"/>
        <v>0</v>
      </c>
      <c r="S36" s="933">
        <f t="shared" si="8"/>
        <v>0</v>
      </c>
      <c r="T36" s="661">
        <f t="shared" si="9"/>
        <v>0</v>
      </c>
      <c r="U36" s="82">
        <f t="shared" si="10"/>
        <v>0</v>
      </c>
      <c r="V36" s="82"/>
      <c r="W36" s="87"/>
      <c r="X36" s="82"/>
      <c r="Y36" s="87"/>
      <c r="Z36" s="82"/>
      <c r="AA36" s="279" t="str">
        <f t="shared" si="11"/>
        <v>0</v>
      </c>
      <c r="AB36" s="280">
        <f t="shared" si="2"/>
        <v>0</v>
      </c>
      <c r="AC36" s="82"/>
      <c r="AD36" s="82"/>
      <c r="AE36" s="82"/>
      <c r="AF36" s="82"/>
      <c r="AG36" s="82"/>
      <c r="AH36" s="82"/>
      <c r="AI36" s="221" t="s">
        <v>227</v>
      </c>
      <c r="AJ36" s="221" t="s">
        <v>266</v>
      </c>
      <c r="AK36" s="221" t="s">
        <v>317</v>
      </c>
      <c r="AL36" s="82"/>
      <c r="AM36" s="221" t="s">
        <v>366</v>
      </c>
      <c r="AN36" s="82"/>
      <c r="AO36" s="82"/>
      <c r="AP36" s="82"/>
      <c r="AQ36" s="82"/>
      <c r="AR36" s="82"/>
    </row>
    <row r="37" spans="2:44" s="76" customFormat="1" ht="12.75" customHeight="1">
      <c r="B37" s="685"/>
      <c r="C37" s="382"/>
      <c r="D37" s="363"/>
      <c r="E37" s="684"/>
      <c r="F37" s="2020" t="str">
        <f t="shared" si="3"/>
        <v/>
      </c>
      <c r="G37" s="2021"/>
      <c r="H37" s="753"/>
      <c r="I37" s="102"/>
      <c r="J37" s="710"/>
      <c r="K37" s="691"/>
      <c r="L37" s="1016" t="str">
        <f t="shared" si="4"/>
        <v/>
      </c>
      <c r="M37" s="693"/>
      <c r="N37" s="1011" t="str">
        <f t="shared" si="5"/>
        <v/>
      </c>
      <c r="O37" s="1012" t="str">
        <f t="shared" si="6"/>
        <v/>
      </c>
      <c r="P37" s="931"/>
      <c r="Q37" s="82"/>
      <c r="R37" s="932">
        <f t="shared" si="7"/>
        <v>0</v>
      </c>
      <c r="S37" s="933">
        <f t="shared" si="8"/>
        <v>0</v>
      </c>
      <c r="T37" s="661">
        <f t="shared" si="9"/>
        <v>0</v>
      </c>
      <c r="U37" s="82">
        <f t="shared" si="10"/>
        <v>0</v>
      </c>
      <c r="V37" s="82"/>
      <c r="W37" s="87"/>
      <c r="X37" s="82"/>
      <c r="Y37" s="87"/>
      <c r="Z37" s="281" t="s">
        <v>708</v>
      </c>
      <c r="AA37" s="279" t="str">
        <f t="shared" si="11"/>
        <v>0</v>
      </c>
      <c r="AB37" s="280">
        <f t="shared" si="2"/>
        <v>0</v>
      </c>
      <c r="AC37" s="82"/>
      <c r="AD37" s="82"/>
      <c r="AE37" s="82"/>
      <c r="AF37" s="82"/>
      <c r="AG37" s="82"/>
      <c r="AH37" s="82"/>
      <c r="AI37" s="221" t="s">
        <v>228</v>
      </c>
      <c r="AJ37" s="221" t="s">
        <v>267</v>
      </c>
      <c r="AK37" s="221" t="s">
        <v>318</v>
      </c>
      <c r="AL37" s="82"/>
      <c r="AM37" s="221" t="s">
        <v>367</v>
      </c>
      <c r="AN37" s="82"/>
      <c r="AO37" s="82"/>
      <c r="AP37" s="82"/>
      <c r="AQ37" s="82"/>
      <c r="AR37" s="82"/>
    </row>
    <row r="38" spans="2:44" s="76" customFormat="1" ht="12.75" customHeight="1">
      <c r="B38" s="685"/>
      <c r="C38" s="382"/>
      <c r="D38" s="363"/>
      <c r="E38" s="684"/>
      <c r="F38" s="2020" t="str">
        <f t="shared" si="3"/>
        <v/>
      </c>
      <c r="G38" s="2021"/>
      <c r="H38" s="753"/>
      <c r="I38" s="102"/>
      <c r="J38" s="710"/>
      <c r="K38" s="691"/>
      <c r="L38" s="1016" t="str">
        <f t="shared" si="4"/>
        <v/>
      </c>
      <c r="M38" s="693"/>
      <c r="N38" s="1011" t="str">
        <f t="shared" si="5"/>
        <v/>
      </c>
      <c r="O38" s="1012" t="str">
        <f t="shared" si="6"/>
        <v/>
      </c>
      <c r="P38" s="931"/>
      <c r="Q38" s="82"/>
      <c r="R38" s="932">
        <f t="shared" si="7"/>
        <v>0</v>
      </c>
      <c r="S38" s="933">
        <f t="shared" si="8"/>
        <v>0</v>
      </c>
      <c r="T38" s="661">
        <f t="shared" si="9"/>
        <v>0</v>
      </c>
      <c r="U38" s="82">
        <f t="shared" si="10"/>
        <v>0</v>
      </c>
      <c r="V38" s="82"/>
      <c r="W38" s="87"/>
      <c r="X38" s="82"/>
      <c r="Y38" s="87"/>
      <c r="Z38" s="282" t="s">
        <v>114</v>
      </c>
      <c r="AA38" s="279" t="str">
        <f t="shared" si="11"/>
        <v>0</v>
      </c>
      <c r="AB38" s="280">
        <f t="shared" si="2"/>
        <v>0</v>
      </c>
      <c r="AC38" s="82"/>
      <c r="AD38" s="82"/>
      <c r="AE38" s="82"/>
      <c r="AF38" s="82"/>
      <c r="AG38" s="82"/>
      <c r="AH38" s="82"/>
      <c r="AI38" s="221" t="s">
        <v>229</v>
      </c>
      <c r="AJ38" s="221" t="s">
        <v>268</v>
      </c>
      <c r="AK38" s="221" t="s">
        <v>239</v>
      </c>
      <c r="AL38" s="82"/>
      <c r="AM38" s="221" t="s">
        <v>368</v>
      </c>
      <c r="AN38" s="82"/>
      <c r="AO38" s="82"/>
      <c r="AP38" s="82"/>
      <c r="AQ38" s="82"/>
      <c r="AR38" s="82"/>
    </row>
    <row r="39" spans="2:44" s="76" customFormat="1" ht="12.75" customHeight="1">
      <c r="B39" s="685"/>
      <c r="C39" s="382"/>
      <c r="D39" s="363"/>
      <c r="E39" s="684"/>
      <c r="F39" s="2020" t="str">
        <f t="shared" si="3"/>
        <v/>
      </c>
      <c r="G39" s="2021"/>
      <c r="H39" s="753"/>
      <c r="I39" s="102"/>
      <c r="J39" s="710"/>
      <c r="K39" s="691"/>
      <c r="L39" s="1016" t="str">
        <f t="shared" si="4"/>
        <v/>
      </c>
      <c r="M39" s="693"/>
      <c r="N39" s="1011" t="str">
        <f t="shared" si="5"/>
        <v/>
      </c>
      <c r="O39" s="1012" t="str">
        <f t="shared" si="6"/>
        <v/>
      </c>
      <c r="P39" s="931"/>
      <c r="Q39" s="82"/>
      <c r="R39" s="932">
        <f t="shared" si="7"/>
        <v>0</v>
      </c>
      <c r="S39" s="933">
        <f t="shared" si="8"/>
        <v>0</v>
      </c>
      <c r="T39" s="661">
        <f t="shared" si="9"/>
        <v>0</v>
      </c>
      <c r="U39" s="82">
        <f t="shared" si="10"/>
        <v>0</v>
      </c>
      <c r="V39" s="82"/>
      <c r="W39" s="87"/>
      <c r="X39" s="82"/>
      <c r="Y39" s="87"/>
      <c r="Z39" s="282" t="s">
        <v>115</v>
      </c>
      <c r="AA39" s="279" t="str">
        <f t="shared" si="11"/>
        <v>0</v>
      </c>
      <c r="AB39" s="280">
        <f t="shared" si="2"/>
        <v>0</v>
      </c>
      <c r="AC39" s="82"/>
      <c r="AD39" s="82"/>
      <c r="AE39" s="82"/>
      <c r="AF39" s="82"/>
      <c r="AG39" s="82"/>
      <c r="AH39" s="82"/>
      <c r="AI39" s="221" t="s">
        <v>230</v>
      </c>
      <c r="AJ39" s="221" t="s">
        <v>269</v>
      </c>
      <c r="AK39" s="221" t="s">
        <v>319</v>
      </c>
      <c r="AL39" s="82"/>
      <c r="AM39" s="221" t="s">
        <v>369</v>
      </c>
      <c r="AN39" s="82"/>
      <c r="AO39" s="82"/>
      <c r="AP39" s="82"/>
      <c r="AQ39" s="82"/>
      <c r="AR39" s="82"/>
    </row>
    <row r="40" spans="2:44" s="76" customFormat="1" ht="12.75" customHeight="1">
      <c r="B40" s="685"/>
      <c r="C40" s="382"/>
      <c r="D40" s="363"/>
      <c r="E40" s="684"/>
      <c r="F40" s="2020" t="str">
        <f t="shared" si="3"/>
        <v/>
      </c>
      <c r="G40" s="2021"/>
      <c r="H40" s="753"/>
      <c r="I40" s="102"/>
      <c r="J40" s="710"/>
      <c r="K40" s="691"/>
      <c r="L40" s="1016" t="str">
        <f t="shared" si="4"/>
        <v/>
      </c>
      <c r="M40" s="693"/>
      <c r="N40" s="1011" t="str">
        <f t="shared" si="5"/>
        <v/>
      </c>
      <c r="O40" s="1012" t="str">
        <f t="shared" si="6"/>
        <v/>
      </c>
      <c r="P40" s="931"/>
      <c r="Q40" s="82"/>
      <c r="R40" s="932">
        <f t="shared" si="7"/>
        <v>0</v>
      </c>
      <c r="S40" s="933">
        <f t="shared" si="8"/>
        <v>0</v>
      </c>
      <c r="T40" s="661">
        <f t="shared" si="9"/>
        <v>0</v>
      </c>
      <c r="U40" s="82">
        <f t="shared" si="10"/>
        <v>0</v>
      </c>
      <c r="V40" s="82"/>
      <c r="W40" s="87"/>
      <c r="X40" s="82"/>
      <c r="Y40" s="87"/>
      <c r="Z40" s="82"/>
      <c r="AA40" s="279" t="str">
        <f t="shared" si="11"/>
        <v>0</v>
      </c>
      <c r="AB40" s="280">
        <f t="shared" si="2"/>
        <v>0</v>
      </c>
      <c r="AC40" s="82">
        <f>SUMIF(E:E,#REF!,I:I)</f>
        <v>0</v>
      </c>
      <c r="AD40" s="82">
        <f>SUMIF(E:E,#REF!,F:F)</f>
        <v>0</v>
      </c>
      <c r="AE40" s="82"/>
      <c r="AF40" s="82"/>
      <c r="AG40" s="82"/>
      <c r="AH40" s="82"/>
      <c r="AI40" s="221" t="s">
        <v>231</v>
      </c>
      <c r="AJ40" s="221" t="s">
        <v>270</v>
      </c>
      <c r="AK40" s="221" t="s">
        <v>320</v>
      </c>
      <c r="AL40" s="82"/>
      <c r="AM40" s="221" t="s">
        <v>370</v>
      </c>
      <c r="AN40" s="82"/>
      <c r="AO40" s="82"/>
      <c r="AP40" s="82"/>
      <c r="AQ40" s="82"/>
      <c r="AR40" s="82"/>
    </row>
    <row r="41" spans="2:44" s="76" customFormat="1" ht="12.75" customHeight="1">
      <c r="B41" s="685"/>
      <c r="C41" s="382"/>
      <c r="D41" s="363"/>
      <c r="E41" s="684"/>
      <c r="F41" s="2020" t="str">
        <f t="shared" si="3"/>
        <v/>
      </c>
      <c r="G41" s="2021"/>
      <c r="H41" s="753"/>
      <c r="I41" s="102"/>
      <c r="J41" s="710"/>
      <c r="K41" s="691"/>
      <c r="L41" s="1016" t="str">
        <f t="shared" si="4"/>
        <v/>
      </c>
      <c r="M41" s="693"/>
      <c r="N41" s="1011" t="str">
        <f t="shared" si="5"/>
        <v/>
      </c>
      <c r="O41" s="1012" t="str">
        <f t="shared" si="6"/>
        <v/>
      </c>
      <c r="P41" s="931"/>
      <c r="Q41" s="82"/>
      <c r="R41" s="932">
        <f t="shared" si="7"/>
        <v>0</v>
      </c>
      <c r="S41" s="933">
        <f t="shared" si="8"/>
        <v>0</v>
      </c>
      <c r="T41" s="661">
        <f t="shared" si="9"/>
        <v>0</v>
      </c>
      <c r="U41" s="82">
        <f t="shared" si="10"/>
        <v>0</v>
      </c>
      <c r="V41" s="82"/>
      <c r="W41" s="87"/>
      <c r="X41" s="82"/>
      <c r="Y41" s="87"/>
      <c r="Z41" s="82"/>
      <c r="AA41" s="279" t="str">
        <f t="shared" si="11"/>
        <v>0</v>
      </c>
      <c r="AB41" s="280">
        <f t="shared" si="2"/>
        <v>0</v>
      </c>
      <c r="AC41" s="82"/>
      <c r="AD41" s="82"/>
      <c r="AE41" s="82"/>
      <c r="AF41" s="82"/>
      <c r="AG41" s="82"/>
      <c r="AH41" s="82"/>
      <c r="AI41" s="221" t="s">
        <v>232</v>
      </c>
      <c r="AJ41" s="221" t="s">
        <v>271</v>
      </c>
      <c r="AK41" s="82"/>
      <c r="AL41" s="82"/>
      <c r="AM41" s="221" t="s">
        <v>371</v>
      </c>
      <c r="AN41" s="82"/>
      <c r="AO41" s="82"/>
      <c r="AP41" s="82"/>
      <c r="AQ41" s="82"/>
      <c r="AR41" s="82"/>
    </row>
    <row r="42" spans="2:44" s="76" customFormat="1" ht="12.75" customHeight="1">
      <c r="B42" s="685"/>
      <c r="C42" s="382"/>
      <c r="D42" s="363"/>
      <c r="E42" s="684"/>
      <c r="F42" s="2020" t="str">
        <f t="shared" si="3"/>
        <v/>
      </c>
      <c r="G42" s="2021"/>
      <c r="H42" s="753"/>
      <c r="I42" s="102"/>
      <c r="J42" s="710"/>
      <c r="K42" s="691"/>
      <c r="L42" s="1016" t="str">
        <f t="shared" si="4"/>
        <v/>
      </c>
      <c r="M42" s="693"/>
      <c r="N42" s="1011" t="str">
        <f t="shared" si="5"/>
        <v/>
      </c>
      <c r="O42" s="1012" t="str">
        <f t="shared" si="6"/>
        <v/>
      </c>
      <c r="P42" s="931"/>
      <c r="Q42" s="82"/>
      <c r="R42" s="932">
        <f t="shared" si="7"/>
        <v>0</v>
      </c>
      <c r="S42" s="933">
        <f t="shared" si="8"/>
        <v>0</v>
      </c>
      <c r="T42" s="661">
        <f t="shared" si="9"/>
        <v>0</v>
      </c>
      <c r="U42" s="82">
        <f t="shared" si="10"/>
        <v>0</v>
      </c>
      <c r="V42" s="82"/>
      <c r="W42" s="87"/>
      <c r="X42" s="82"/>
      <c r="Y42" s="87"/>
      <c r="Z42" s="82"/>
      <c r="AA42" s="279" t="str">
        <f t="shared" si="11"/>
        <v>0</v>
      </c>
      <c r="AB42" s="280">
        <f t="shared" si="2"/>
        <v>0</v>
      </c>
      <c r="AC42" s="82"/>
      <c r="AD42" s="82"/>
      <c r="AE42" s="82"/>
      <c r="AF42" s="82"/>
      <c r="AG42" s="82"/>
      <c r="AH42" s="82"/>
      <c r="AI42" s="221" t="s">
        <v>233</v>
      </c>
      <c r="AJ42" s="221" t="s">
        <v>272</v>
      </c>
      <c r="AK42" s="82"/>
      <c r="AL42" s="82"/>
      <c r="AM42" s="221" t="s">
        <v>372</v>
      </c>
      <c r="AN42" s="82"/>
      <c r="AO42" s="82"/>
      <c r="AP42" s="82"/>
      <c r="AQ42" s="82"/>
      <c r="AR42" s="82"/>
    </row>
    <row r="43" spans="2:44" ht="12.75" customHeight="1">
      <c r="B43" s="685"/>
      <c r="C43" s="382"/>
      <c r="D43" s="363"/>
      <c r="E43" s="684"/>
      <c r="F43" s="2020" t="str">
        <f t="shared" si="3"/>
        <v/>
      </c>
      <c r="G43" s="2021"/>
      <c r="H43" s="754"/>
      <c r="I43" s="756"/>
      <c r="J43" s="711"/>
      <c r="K43" s="695"/>
      <c r="L43" s="1016" t="str">
        <f t="shared" si="4"/>
        <v/>
      </c>
      <c r="M43" s="694"/>
      <c r="N43" s="1011" t="str">
        <f t="shared" si="5"/>
        <v/>
      </c>
      <c r="O43" s="1012" t="str">
        <f t="shared" si="6"/>
        <v/>
      </c>
      <c r="P43" s="931"/>
      <c r="R43" s="932">
        <f t="shared" si="7"/>
        <v>0</v>
      </c>
      <c r="S43" s="933">
        <f t="shared" si="8"/>
        <v>0</v>
      </c>
      <c r="T43" s="661">
        <f t="shared" si="9"/>
        <v>0</v>
      </c>
      <c r="U43" s="82">
        <f t="shared" si="10"/>
        <v>0</v>
      </c>
      <c r="X43" s="437"/>
      <c r="Z43" s="98"/>
      <c r="AA43" s="279" t="str">
        <f t="shared" si="11"/>
        <v>0</v>
      </c>
      <c r="AB43" s="280">
        <f t="shared" si="2"/>
        <v>0</v>
      </c>
      <c r="AI43" s="218" t="s">
        <v>234</v>
      </c>
      <c r="AJ43" s="218" t="s">
        <v>273</v>
      </c>
      <c r="AM43" s="218" t="s">
        <v>373</v>
      </c>
    </row>
    <row r="44" spans="2:44" ht="12.75" customHeight="1">
      <c r="B44" s="685"/>
      <c r="C44" s="382"/>
      <c r="D44" s="363"/>
      <c r="E44" s="684"/>
      <c r="F44" s="2020" t="str">
        <f t="shared" si="3"/>
        <v/>
      </c>
      <c r="G44" s="2021"/>
      <c r="H44" s="754"/>
      <c r="I44" s="756"/>
      <c r="J44" s="711"/>
      <c r="K44" s="695"/>
      <c r="L44" s="1016" t="str">
        <f t="shared" si="4"/>
        <v/>
      </c>
      <c r="M44" s="694"/>
      <c r="N44" s="1011" t="str">
        <f t="shared" si="5"/>
        <v/>
      </c>
      <c r="O44" s="1012" t="str">
        <f t="shared" si="6"/>
        <v/>
      </c>
      <c r="P44" s="931"/>
      <c r="R44" s="932">
        <f t="shared" si="7"/>
        <v>0</v>
      </c>
      <c r="S44" s="933">
        <f t="shared" si="8"/>
        <v>0</v>
      </c>
      <c r="T44" s="661">
        <f t="shared" si="9"/>
        <v>0</v>
      </c>
      <c r="U44" s="82">
        <f t="shared" si="10"/>
        <v>0</v>
      </c>
      <c r="AA44" s="279" t="str">
        <f t="shared" si="11"/>
        <v>0</v>
      </c>
      <c r="AB44" s="280">
        <f t="shared" si="2"/>
        <v>0</v>
      </c>
      <c r="AC44" s="217"/>
      <c r="AF44" s="238" t="s">
        <v>664</v>
      </c>
      <c r="AG44" s="800" t="s">
        <v>154</v>
      </c>
      <c r="AI44" s="218" t="s">
        <v>235</v>
      </c>
      <c r="AJ44" s="218" t="s">
        <v>274</v>
      </c>
    </row>
    <row r="45" spans="2:44" ht="12.75" customHeight="1">
      <c r="B45" s="685"/>
      <c r="C45" s="382"/>
      <c r="D45" s="363"/>
      <c r="E45" s="684"/>
      <c r="F45" s="2020" t="str">
        <f t="shared" si="3"/>
        <v/>
      </c>
      <c r="G45" s="2021"/>
      <c r="H45" s="754"/>
      <c r="I45" s="756"/>
      <c r="J45" s="711"/>
      <c r="K45" s="695"/>
      <c r="L45" s="1017" t="str">
        <f t="shared" ref="L45:L53" si="12">IFERROR(IF(I45&lt;&gt;"",(PMT(J45/12,K45,I45)*-1),""),"")</f>
        <v/>
      </c>
      <c r="M45" s="694"/>
      <c r="N45" s="1011" t="str">
        <f t="shared" ref="N45:N53" si="13">IFERROR((L45+M45)*12,"")</f>
        <v/>
      </c>
      <c r="O45" s="1012" t="str">
        <f t="shared" si="6"/>
        <v/>
      </c>
      <c r="P45" s="931"/>
      <c r="R45" s="932">
        <f t="shared" si="7"/>
        <v>0</v>
      </c>
      <c r="S45" s="933">
        <f t="shared" ref="S45:S53" si="14">D45*H45</f>
        <v>0</v>
      </c>
      <c r="T45" s="661">
        <f t="shared" ref="T45:T53" si="15">D45*I45</f>
        <v>0</v>
      </c>
      <c r="U45" s="82">
        <f t="shared" ref="U45:U53" si="16">D45*K45</f>
        <v>0</v>
      </c>
      <c r="AA45" s="279" t="str">
        <f t="shared" si="11"/>
        <v>0</v>
      </c>
      <c r="AB45" s="280">
        <f t="shared" si="2"/>
        <v>0</v>
      </c>
      <c r="AC45" s="217"/>
      <c r="AF45" s="708" t="s">
        <v>713</v>
      </c>
      <c r="AG45" s="800" t="s">
        <v>880</v>
      </c>
      <c r="AI45" s="218" t="s">
        <v>236</v>
      </c>
      <c r="AJ45" s="218" t="s">
        <v>275</v>
      </c>
    </row>
    <row r="46" spans="2:44" ht="12.75" customHeight="1">
      <c r="B46" s="685"/>
      <c r="C46" s="382"/>
      <c r="D46" s="363"/>
      <c r="E46" s="684"/>
      <c r="F46" s="2020" t="str">
        <f t="shared" si="3"/>
        <v/>
      </c>
      <c r="G46" s="2021"/>
      <c r="H46" s="754"/>
      <c r="I46" s="756"/>
      <c r="J46" s="711"/>
      <c r="K46" s="695"/>
      <c r="L46" s="1017" t="str">
        <f t="shared" si="12"/>
        <v/>
      </c>
      <c r="M46" s="694"/>
      <c r="N46" s="1011" t="str">
        <f t="shared" si="13"/>
        <v/>
      </c>
      <c r="O46" s="1012" t="str">
        <f t="shared" si="6"/>
        <v/>
      </c>
      <c r="P46" s="931"/>
      <c r="R46" s="932">
        <f t="shared" si="7"/>
        <v>0</v>
      </c>
      <c r="S46" s="933">
        <f t="shared" si="14"/>
        <v>0</v>
      </c>
      <c r="T46" s="661">
        <f t="shared" si="15"/>
        <v>0</v>
      </c>
      <c r="U46" s="82">
        <f t="shared" si="16"/>
        <v>0</v>
      </c>
      <c r="AA46" s="279" t="str">
        <f t="shared" si="11"/>
        <v>0</v>
      </c>
      <c r="AB46" s="280">
        <f t="shared" si="2"/>
        <v>0</v>
      </c>
      <c r="AC46" s="217"/>
      <c r="AF46" s="708" t="s">
        <v>714</v>
      </c>
      <c r="AG46" s="800" t="s">
        <v>881</v>
      </c>
      <c r="AI46" s="218" t="s">
        <v>237</v>
      </c>
      <c r="AJ46" s="218" t="s">
        <v>276</v>
      </c>
    </row>
    <row r="47" spans="2:44" ht="12.75" customHeight="1">
      <c r="B47" s="685"/>
      <c r="C47" s="382"/>
      <c r="D47" s="363"/>
      <c r="E47" s="684"/>
      <c r="F47" s="2020" t="str">
        <f t="shared" si="3"/>
        <v/>
      </c>
      <c r="G47" s="2021"/>
      <c r="H47" s="754"/>
      <c r="I47" s="756"/>
      <c r="J47" s="711"/>
      <c r="K47" s="695"/>
      <c r="L47" s="1017" t="str">
        <f t="shared" si="12"/>
        <v/>
      </c>
      <c r="M47" s="694"/>
      <c r="N47" s="1011" t="str">
        <f t="shared" si="13"/>
        <v/>
      </c>
      <c r="O47" s="1012" t="str">
        <f t="shared" si="6"/>
        <v/>
      </c>
      <c r="P47" s="931"/>
      <c r="R47" s="932">
        <f t="shared" si="7"/>
        <v>0</v>
      </c>
      <c r="S47" s="933">
        <f t="shared" si="14"/>
        <v>0</v>
      </c>
      <c r="T47" s="661">
        <f t="shared" si="15"/>
        <v>0</v>
      </c>
      <c r="U47" s="82">
        <f t="shared" si="16"/>
        <v>0</v>
      </c>
      <c r="AA47" s="279" t="str">
        <f t="shared" si="11"/>
        <v>0</v>
      </c>
      <c r="AB47" s="280">
        <f t="shared" si="2"/>
        <v>0</v>
      </c>
      <c r="AF47" s="708" t="s">
        <v>715</v>
      </c>
      <c r="AG47" s="800" t="s">
        <v>882</v>
      </c>
      <c r="AI47" s="218" t="s">
        <v>238</v>
      </c>
      <c r="AJ47" s="218" t="s">
        <v>277</v>
      </c>
    </row>
    <row r="48" spans="2:44" ht="12.75" customHeight="1">
      <c r="B48" s="685"/>
      <c r="C48" s="382"/>
      <c r="D48" s="363"/>
      <c r="E48" s="684"/>
      <c r="F48" s="2020" t="str">
        <f t="shared" si="3"/>
        <v/>
      </c>
      <c r="G48" s="2021"/>
      <c r="H48" s="754"/>
      <c r="I48" s="756"/>
      <c r="J48" s="711"/>
      <c r="K48" s="695"/>
      <c r="L48" s="1017" t="str">
        <f t="shared" si="12"/>
        <v/>
      </c>
      <c r="M48" s="694"/>
      <c r="N48" s="1011" t="str">
        <f t="shared" si="13"/>
        <v/>
      </c>
      <c r="O48" s="1012" t="str">
        <f t="shared" si="6"/>
        <v/>
      </c>
      <c r="P48" s="931"/>
      <c r="R48" s="932">
        <f t="shared" si="7"/>
        <v>0</v>
      </c>
      <c r="S48" s="933">
        <f t="shared" si="14"/>
        <v>0</v>
      </c>
      <c r="T48" s="661">
        <f t="shared" si="15"/>
        <v>0</v>
      </c>
      <c r="U48" s="82">
        <f t="shared" si="16"/>
        <v>0</v>
      </c>
      <c r="AA48" s="279" t="str">
        <f t="shared" si="11"/>
        <v>0</v>
      </c>
      <c r="AB48" s="280">
        <f t="shared" si="2"/>
        <v>0</v>
      </c>
      <c r="AF48" s="238" t="s">
        <v>716</v>
      </c>
      <c r="AG48" s="800" t="s">
        <v>883</v>
      </c>
      <c r="AI48" s="218" t="s">
        <v>239</v>
      </c>
      <c r="AJ48" s="218" t="s">
        <v>278</v>
      </c>
    </row>
    <row r="49" spans="2:44" ht="12.75" customHeight="1">
      <c r="B49" s="685"/>
      <c r="C49" s="382"/>
      <c r="D49" s="363"/>
      <c r="E49" s="684"/>
      <c r="F49" s="2020" t="str">
        <f t="shared" si="3"/>
        <v/>
      </c>
      <c r="G49" s="2021"/>
      <c r="H49" s="754"/>
      <c r="I49" s="756"/>
      <c r="J49" s="711"/>
      <c r="K49" s="695"/>
      <c r="L49" s="1017" t="str">
        <f t="shared" si="12"/>
        <v/>
      </c>
      <c r="M49" s="694"/>
      <c r="N49" s="1011" t="str">
        <f t="shared" si="13"/>
        <v/>
      </c>
      <c r="O49" s="1012" t="str">
        <f t="shared" si="6"/>
        <v/>
      </c>
      <c r="P49" s="931"/>
      <c r="R49" s="932">
        <f t="shared" si="7"/>
        <v>0</v>
      </c>
      <c r="S49" s="933">
        <f t="shared" si="14"/>
        <v>0</v>
      </c>
      <c r="T49" s="661">
        <f t="shared" si="15"/>
        <v>0</v>
      </c>
      <c r="U49" s="82">
        <f t="shared" si="16"/>
        <v>0</v>
      </c>
      <c r="Z49" s="217"/>
      <c r="AA49" s="279" t="str">
        <f t="shared" si="11"/>
        <v>0</v>
      </c>
      <c r="AB49" s="280">
        <f t="shared" si="2"/>
        <v>0</v>
      </c>
      <c r="AF49" s="238" t="s">
        <v>678</v>
      </c>
      <c r="AJ49" s="218" t="s">
        <v>279</v>
      </c>
    </row>
    <row r="50" spans="2:44" ht="12.75" customHeight="1">
      <c r="B50" s="685"/>
      <c r="C50" s="382"/>
      <c r="D50" s="363"/>
      <c r="E50" s="684"/>
      <c r="F50" s="2020" t="str">
        <f t="shared" si="3"/>
        <v/>
      </c>
      <c r="G50" s="2021"/>
      <c r="H50" s="754"/>
      <c r="I50" s="756"/>
      <c r="J50" s="711"/>
      <c r="K50" s="695"/>
      <c r="L50" s="1017" t="str">
        <f t="shared" si="12"/>
        <v/>
      </c>
      <c r="M50" s="694"/>
      <c r="N50" s="1011" t="str">
        <f t="shared" si="13"/>
        <v/>
      </c>
      <c r="O50" s="1012" t="str">
        <f t="shared" si="6"/>
        <v/>
      </c>
      <c r="P50" s="931"/>
      <c r="R50" s="932">
        <f t="shared" si="7"/>
        <v>0</v>
      </c>
      <c r="S50" s="933">
        <f t="shared" si="14"/>
        <v>0</v>
      </c>
      <c r="T50" s="661">
        <f t="shared" si="15"/>
        <v>0</v>
      </c>
      <c r="U50" s="82">
        <f t="shared" si="16"/>
        <v>0</v>
      </c>
      <c r="Z50" s="217"/>
      <c r="AA50" s="279" t="str">
        <f t="shared" si="11"/>
        <v>0</v>
      </c>
      <c r="AB50" s="280">
        <f t="shared" si="2"/>
        <v>0</v>
      </c>
      <c r="AJ50" s="218" t="s">
        <v>280</v>
      </c>
    </row>
    <row r="51" spans="2:44" ht="12.75" customHeight="1">
      <c r="B51" s="685"/>
      <c r="C51" s="382"/>
      <c r="D51" s="363"/>
      <c r="E51" s="684"/>
      <c r="F51" s="2020" t="str">
        <f t="shared" si="3"/>
        <v/>
      </c>
      <c r="G51" s="2021"/>
      <c r="H51" s="754"/>
      <c r="I51" s="756"/>
      <c r="J51" s="711"/>
      <c r="K51" s="695"/>
      <c r="L51" s="1017" t="str">
        <f t="shared" si="12"/>
        <v/>
      </c>
      <c r="M51" s="694"/>
      <c r="N51" s="1011" t="str">
        <f t="shared" si="13"/>
        <v/>
      </c>
      <c r="O51" s="1012" t="str">
        <f t="shared" si="6"/>
        <v/>
      </c>
      <c r="P51" s="931"/>
      <c r="R51" s="932">
        <f t="shared" si="7"/>
        <v>0</v>
      </c>
      <c r="S51" s="933">
        <f t="shared" si="14"/>
        <v>0</v>
      </c>
      <c r="T51" s="661">
        <f t="shared" si="15"/>
        <v>0</v>
      </c>
      <c r="U51" s="82">
        <f t="shared" si="16"/>
        <v>0</v>
      </c>
      <c r="Z51" s="217"/>
      <c r="AA51" s="279" t="str">
        <f t="shared" si="11"/>
        <v>0</v>
      </c>
      <c r="AB51" s="280">
        <f t="shared" si="2"/>
        <v>0</v>
      </c>
      <c r="AJ51" s="218" t="s">
        <v>281</v>
      </c>
    </row>
    <row r="52" spans="2:44" ht="12.75" customHeight="1">
      <c r="B52" s="685"/>
      <c r="C52" s="382"/>
      <c r="D52" s="363"/>
      <c r="E52" s="684"/>
      <c r="F52" s="2020" t="str">
        <f t="shared" si="3"/>
        <v/>
      </c>
      <c r="G52" s="2021"/>
      <c r="H52" s="754"/>
      <c r="I52" s="756"/>
      <c r="J52" s="711"/>
      <c r="K52" s="695"/>
      <c r="L52" s="1017" t="str">
        <f t="shared" si="12"/>
        <v/>
      </c>
      <c r="M52" s="694"/>
      <c r="N52" s="1011" t="str">
        <f t="shared" si="13"/>
        <v/>
      </c>
      <c r="O52" s="1012" t="str">
        <f t="shared" si="6"/>
        <v/>
      </c>
      <c r="P52" s="931"/>
      <c r="R52" s="932">
        <f t="shared" si="7"/>
        <v>0</v>
      </c>
      <c r="S52" s="933">
        <f t="shared" si="14"/>
        <v>0</v>
      </c>
      <c r="T52" s="661">
        <f t="shared" si="15"/>
        <v>0</v>
      </c>
      <c r="U52" s="82">
        <f t="shared" si="16"/>
        <v>0</v>
      </c>
      <c r="Z52" s="217"/>
      <c r="AA52" s="279" t="str">
        <f t="shared" si="11"/>
        <v>0</v>
      </c>
      <c r="AB52" s="280">
        <f t="shared" si="2"/>
        <v>0</v>
      </c>
      <c r="AF52" s="800" t="s">
        <v>678</v>
      </c>
      <c r="AJ52" s="218" t="s">
        <v>282</v>
      </c>
    </row>
    <row r="53" spans="2:44" ht="12.75" customHeight="1" thickBot="1">
      <c r="B53" s="686"/>
      <c r="C53" s="496"/>
      <c r="D53" s="497"/>
      <c r="E53" s="687"/>
      <c r="F53" s="2022" t="str">
        <f t="shared" si="3"/>
        <v/>
      </c>
      <c r="G53" s="2023"/>
      <c r="H53" s="753"/>
      <c r="I53" s="102"/>
      <c r="J53" s="710"/>
      <c r="K53" s="695"/>
      <c r="L53" s="1018" t="str">
        <f t="shared" si="12"/>
        <v/>
      </c>
      <c r="M53" s="694"/>
      <c r="N53" s="1013" t="str">
        <f t="shared" si="13"/>
        <v/>
      </c>
      <c r="O53" s="1014" t="str">
        <f t="shared" si="6"/>
        <v/>
      </c>
      <c r="P53" s="931"/>
      <c r="R53" s="932">
        <f t="shared" si="7"/>
        <v>0</v>
      </c>
      <c r="S53" s="933">
        <f t="shared" si="14"/>
        <v>0</v>
      </c>
      <c r="T53" s="661">
        <f t="shared" si="15"/>
        <v>0</v>
      </c>
      <c r="U53" s="82">
        <f t="shared" si="16"/>
        <v>0</v>
      </c>
      <c r="Y53" s="99"/>
      <c r="AA53" s="279" t="str">
        <f t="shared" si="11"/>
        <v>0</v>
      </c>
      <c r="AB53" s="280">
        <f t="shared" si="2"/>
        <v>0</v>
      </c>
      <c r="AJ53" s="218" t="s">
        <v>283</v>
      </c>
    </row>
    <row r="54" spans="2:44" ht="12.75" customHeight="1" thickTop="1">
      <c r="S54" s="934">
        <f>SUM(S27:S53)</f>
        <v>0</v>
      </c>
      <c r="T54" s="934">
        <f>SUM(T27:T53)</f>
        <v>0</v>
      </c>
      <c r="U54" s="688">
        <f>SUM(U27:U53)</f>
        <v>0</v>
      </c>
      <c r="V54" s="935">
        <f>SUM(D27:D53)</f>
        <v>0</v>
      </c>
      <c r="Y54" s="99"/>
      <c r="AJ54" s="218" t="s">
        <v>236</v>
      </c>
    </row>
    <row r="55" spans="2:44" ht="12.75" customHeight="1">
      <c r="B55" s="15"/>
      <c r="C55" s="2035" t="s">
        <v>664</v>
      </c>
      <c r="D55" s="2041" t="s">
        <v>713</v>
      </c>
      <c r="E55" s="2039" t="s">
        <v>714</v>
      </c>
      <c r="F55" s="2043" t="s">
        <v>715</v>
      </c>
      <c r="G55" s="2043"/>
      <c r="H55" s="2043" t="s">
        <v>716</v>
      </c>
      <c r="I55" s="2037" t="s">
        <v>678</v>
      </c>
      <c r="J55" s="632"/>
      <c r="Y55" s="99"/>
      <c r="AJ55" s="218" t="s">
        <v>284</v>
      </c>
    </row>
    <row r="56" spans="2:44" ht="12.75" customHeight="1">
      <c r="B56" s="15"/>
      <c r="C56" s="2036"/>
      <c r="D56" s="2042"/>
      <c r="E56" s="2040"/>
      <c r="F56" s="2044"/>
      <c r="G56" s="2044"/>
      <c r="H56" s="2044"/>
      <c r="I56" s="2038"/>
      <c r="J56" s="632"/>
      <c r="Y56" s="99"/>
      <c r="AJ56" s="218" t="s">
        <v>285</v>
      </c>
    </row>
    <row r="57" spans="2:44" s="76" customFormat="1" ht="12.75" customHeight="1">
      <c r="B57" s="1019" t="s">
        <v>154</v>
      </c>
      <c r="C57" s="1022">
        <f>SUMIFS($D$27:$D$53,$C$27:$C$53,AG44,$B$27:$B$53,$AF$44)</f>
        <v>0</v>
      </c>
      <c r="D57" s="1022">
        <f>SUMIFS($D$27:$D$53,$C$27:$C$53,AG44,$B$27:$B$53,$AF$45)</f>
        <v>0</v>
      </c>
      <c r="E57" s="1022">
        <f>SUMIFS($D$27:$D$53,$C$27:$C$53,AG44,$B$27:$B$53,$AF$46)</f>
        <v>0</v>
      </c>
      <c r="F57" s="2046">
        <f>SUMIFS($D$27:$D$53,$C$27:$C$53,AG44,$B$27:$B$53,$AF$47)</f>
        <v>0</v>
      </c>
      <c r="G57" s="2046"/>
      <c r="H57" s="1022">
        <f>SUMIFS($D$27:$D$53,$C$27:$C$53,AG44,$B$27:$B$53,$AF$48)</f>
        <v>0</v>
      </c>
      <c r="I57" s="1022">
        <f>SUMIFS($D$27:$D$53,$R$27:$R$53,6,$C$27:$C$53,AG44)</f>
        <v>0</v>
      </c>
      <c r="J57" s="1023">
        <f t="shared" ref="J57:J61" si="17">SUM(C57:I57)</f>
        <v>0</v>
      </c>
      <c r="P57" s="82"/>
      <c r="Q57" s="82"/>
      <c r="R57" s="82"/>
      <c r="S57" s="82"/>
      <c r="T57" s="82"/>
      <c r="U57" s="82"/>
      <c r="V57" s="983"/>
      <c r="W57" s="920"/>
      <c r="X57" s="920"/>
      <c r="Y57" s="920"/>
      <c r="Z57" s="82"/>
      <c r="AA57" s="82"/>
      <c r="AB57" s="82"/>
      <c r="AC57" s="82"/>
      <c r="AD57" s="82"/>
      <c r="AE57" s="82"/>
      <c r="AF57" s="82"/>
      <c r="AG57" s="82"/>
      <c r="AH57" s="82"/>
      <c r="AI57" s="82"/>
      <c r="AJ57" s="221" t="s">
        <v>238</v>
      </c>
      <c r="AK57" s="82"/>
      <c r="AL57" s="82"/>
      <c r="AM57" s="82"/>
      <c r="AN57" s="82"/>
      <c r="AO57" s="82"/>
      <c r="AP57" s="82"/>
      <c r="AQ57" s="82"/>
      <c r="AR57" s="82"/>
    </row>
    <row r="58" spans="2:44" s="76" customFormat="1" ht="12.75" customHeight="1">
      <c r="B58" s="1020" t="s">
        <v>155</v>
      </c>
      <c r="C58" s="1022">
        <f>SUMIFS($D$27:$D$53,$C$27:$C$53,AG45,$B$27:$B$53,$AF$44)</f>
        <v>0</v>
      </c>
      <c r="D58" s="1022">
        <f>SUMIFS($D$27:$D$53,$C$27:$C$53,AG45,$B$27:$B$53,$AF$45)</f>
        <v>0</v>
      </c>
      <c r="E58" s="1022">
        <f>SUMIFS($D$27:$D$53,$C$27:$C$53,AG45,$B$27:$B$53,$AF$46)</f>
        <v>0</v>
      </c>
      <c r="F58" s="2046">
        <f>SUMIFS($D$27:$D$53,$C$27:$C$53,AG45,$B$27:$B$53,$AF$47)</f>
        <v>0</v>
      </c>
      <c r="G58" s="2046"/>
      <c r="H58" s="1022">
        <f>SUMIFS($D$27:$D$53,$C$27:$C$53,AG45,$B$27:$B$53,$AF$48)</f>
        <v>0</v>
      </c>
      <c r="I58" s="1022">
        <f>SUMIFS($D$27:$D$53,$R$27:$R$53,6,$C$27:$C$53,AG45)</f>
        <v>0</v>
      </c>
      <c r="J58" s="1023">
        <f t="shared" si="17"/>
        <v>0</v>
      </c>
      <c r="P58" s="82"/>
      <c r="Q58" s="82"/>
      <c r="R58" s="82"/>
      <c r="S58" s="82"/>
      <c r="T58" s="82"/>
      <c r="U58" s="82"/>
      <c r="V58" s="983"/>
      <c r="W58" s="920"/>
      <c r="X58" s="920"/>
      <c r="Y58" s="920"/>
      <c r="Z58" s="82"/>
      <c r="AA58" s="82"/>
      <c r="AB58" s="984" t="s">
        <v>710</v>
      </c>
      <c r="AC58" s="82"/>
      <c r="AD58" s="82"/>
      <c r="AE58" s="82"/>
      <c r="AF58" s="82"/>
      <c r="AG58" s="82"/>
      <c r="AH58" s="82"/>
      <c r="AI58" s="82"/>
      <c r="AJ58" s="221" t="s">
        <v>286</v>
      </c>
      <c r="AK58" s="82"/>
      <c r="AL58" s="82"/>
      <c r="AM58" s="82"/>
      <c r="AN58" s="82"/>
      <c r="AO58" s="82"/>
      <c r="AP58" s="82"/>
      <c r="AQ58" s="82"/>
      <c r="AR58" s="82"/>
    </row>
    <row r="59" spans="2:44" s="76" customFormat="1" ht="12.75" customHeight="1">
      <c r="B59" s="1020" t="s">
        <v>156</v>
      </c>
      <c r="C59" s="1022">
        <f>SUMIFS($D$27:$D$53,$C$27:$C$53,AG46,$B$27:$B$53,$AF$44)</f>
        <v>0</v>
      </c>
      <c r="D59" s="1022">
        <f>SUMIFS($D$27:$D$53,$C$27:$C$53,AG46,$B$27:$B$53,$AF$45)</f>
        <v>0</v>
      </c>
      <c r="E59" s="1022">
        <f>SUMIFS($D$27:$D$53,$C$27:$C$53,AG46,$B$27:$B$53,$AF$46)</f>
        <v>0</v>
      </c>
      <c r="F59" s="2046">
        <f>SUMIFS($D$27:$D$53,$C$27:$C$53,AG46,$B$27:$B$53,$AF$47)</f>
        <v>0</v>
      </c>
      <c r="G59" s="2046"/>
      <c r="H59" s="1022">
        <f>SUMIFS($D$27:$D$53,$C$27:$C$53,AG46,$B$27:$B$53,$AF$48)</f>
        <v>0</v>
      </c>
      <c r="I59" s="1022">
        <f>SUMIFS($D$27:$D$53,$R$27:$R$53,6,$C$27:$C$53,AG46)</f>
        <v>0</v>
      </c>
      <c r="J59" s="1023">
        <f t="shared" si="17"/>
        <v>0</v>
      </c>
      <c r="P59" s="82"/>
      <c r="Q59" s="82"/>
      <c r="R59" s="82"/>
      <c r="S59" s="82"/>
      <c r="T59" s="82"/>
      <c r="U59" s="82"/>
      <c r="V59" s="82"/>
      <c r="W59" s="920"/>
      <c r="X59" s="920"/>
      <c r="Y59" s="920"/>
      <c r="Z59" s="985"/>
      <c r="AA59" s="82"/>
      <c r="AB59" s="108">
        <f>COUNTA(#REF!)</f>
        <v>1</v>
      </c>
      <c r="AC59" s="82"/>
      <c r="AD59" s="82"/>
      <c r="AE59" s="82"/>
      <c r="AF59" s="82"/>
      <c r="AG59" s="82"/>
      <c r="AH59" s="82"/>
      <c r="AI59" s="82"/>
      <c r="AJ59" s="221" t="s">
        <v>287</v>
      </c>
      <c r="AK59" s="82"/>
      <c r="AL59" s="82"/>
      <c r="AM59" s="82"/>
      <c r="AN59" s="82"/>
      <c r="AO59" s="82"/>
      <c r="AP59" s="82"/>
      <c r="AQ59" s="82"/>
      <c r="AR59" s="82"/>
    </row>
    <row r="60" spans="2:44" s="76" customFormat="1" ht="12.75" customHeight="1">
      <c r="B60" s="1020" t="s">
        <v>157</v>
      </c>
      <c r="C60" s="1022">
        <f>SUMIFS($D$27:$D$53,$C$27:$C$53,AG47,$B$27:$B$53,$AF$44)</f>
        <v>0</v>
      </c>
      <c r="D60" s="1022">
        <f>SUMIFS($D$27:$D$53,$C$27:$C$53,AG47,$B$27:$B$53,$AF$45)</f>
        <v>0</v>
      </c>
      <c r="E60" s="1022">
        <f>SUMIFS($D$27:$D$53,$C$27:$C$53,AG47,$B$27:$B$53,$AF$46)</f>
        <v>0</v>
      </c>
      <c r="F60" s="2046">
        <f>SUMIFS($D$27:$D$53,$C$27:$C$53,AG47,$B$27:$B$53,$AF$47)</f>
        <v>0</v>
      </c>
      <c r="G60" s="2046"/>
      <c r="H60" s="1022">
        <f>SUMIFS($D$27:$D$53,$C$27:$C$53,AG47,$B$27:$B$53,$AF$48)</f>
        <v>0</v>
      </c>
      <c r="I60" s="1022">
        <f>SUMIFS($D$27:$D$53,$R$27:$R$53,6,$C$27:$C$53,AG47)</f>
        <v>0</v>
      </c>
      <c r="J60" s="1023">
        <f t="shared" si="17"/>
        <v>0</v>
      </c>
      <c r="K60" s="986"/>
      <c r="L60" s="1796" t="s">
        <v>117</v>
      </c>
      <c r="M60" s="1796"/>
      <c r="N60" s="1025">
        <f>SUM(S27:S53)</f>
        <v>0</v>
      </c>
      <c r="P60" s="82"/>
      <c r="Q60" s="82"/>
      <c r="R60" s="82"/>
      <c r="S60" s="82"/>
      <c r="T60" s="82"/>
      <c r="U60" s="82"/>
      <c r="V60" s="82"/>
      <c r="W60" s="920"/>
      <c r="X60" s="920"/>
      <c r="Y60" s="920"/>
      <c r="Z60" s="82"/>
      <c r="AA60" s="82"/>
      <c r="AB60" s="82"/>
      <c r="AC60" s="82"/>
      <c r="AD60" s="82"/>
      <c r="AE60" s="82"/>
      <c r="AF60" s="82"/>
      <c r="AG60" s="82"/>
      <c r="AH60" s="82"/>
      <c r="AI60" s="82"/>
      <c r="AJ60" s="221" t="s">
        <v>288</v>
      </c>
      <c r="AK60" s="82"/>
      <c r="AL60" s="82"/>
      <c r="AM60" s="82"/>
      <c r="AN60" s="82"/>
      <c r="AO60" s="82"/>
      <c r="AP60" s="82"/>
      <c r="AQ60" s="82"/>
      <c r="AR60" s="82"/>
    </row>
    <row r="61" spans="2:44" s="76" customFormat="1" ht="12.75" customHeight="1">
      <c r="B61" s="1021" t="s">
        <v>158</v>
      </c>
      <c r="C61" s="1022">
        <f>SUMIFS($D$27:$D$53,$C$27:$C$53,AG48,$B$27:$B$53,$AF$44)</f>
        <v>0</v>
      </c>
      <c r="D61" s="1022">
        <f>SUMIFS($D$27:$D$53,$C$27:$C$53,AG48,$B$27:$B$53,$AF$45)</f>
        <v>0</v>
      </c>
      <c r="E61" s="1022">
        <f>SUMIFS($D$27:$D$53,$C$27:$C$53,AG48,$B$27:$B$53,$AF$46)</f>
        <v>0</v>
      </c>
      <c r="F61" s="2046">
        <f>SUMIFS($D$27:$D$53,$C$27:$C$53,AG48,$B$27:$B$53,$AF$47)</f>
        <v>0</v>
      </c>
      <c r="G61" s="2046"/>
      <c r="H61" s="1022">
        <f>SUMIFS($D$27:$D$53,$C$27:$C$53,AG48,$B$27:$B$53,$AF$48)</f>
        <v>0</v>
      </c>
      <c r="I61" s="1022">
        <f>SUMIFS($D$27:$D$53,$R$27:$R$53,6,$C$27:$C$53,AG48)</f>
        <v>0</v>
      </c>
      <c r="J61" s="1023">
        <f t="shared" si="17"/>
        <v>0</v>
      </c>
      <c r="K61" s="986"/>
      <c r="L61" s="1796" t="s">
        <v>121</v>
      </c>
      <c r="M61" s="1796"/>
      <c r="N61" s="1025">
        <f>SUM(T27:T53)</f>
        <v>0</v>
      </c>
      <c r="P61" s="82"/>
      <c r="Q61" s="82"/>
      <c r="R61" s="82"/>
      <c r="S61" s="82"/>
      <c r="T61" s="82"/>
      <c r="U61" s="82"/>
      <c r="V61" s="82"/>
      <c r="W61" s="920"/>
      <c r="X61" s="920"/>
      <c r="Y61" s="920"/>
      <c r="Z61" s="82"/>
      <c r="AA61" s="82"/>
      <c r="AB61" s="82"/>
      <c r="AC61" s="82"/>
      <c r="AD61" s="82"/>
      <c r="AE61" s="82"/>
      <c r="AF61" s="82"/>
      <c r="AG61" s="82"/>
      <c r="AH61" s="82"/>
      <c r="AI61" s="82"/>
      <c r="AJ61" s="82"/>
      <c r="AK61" s="82"/>
      <c r="AL61" s="82"/>
      <c r="AM61" s="82"/>
      <c r="AN61" s="82"/>
      <c r="AO61" s="82"/>
      <c r="AP61" s="82"/>
      <c r="AQ61" s="82"/>
      <c r="AR61" s="82"/>
    </row>
    <row r="62" spans="2:44" s="76" customFormat="1" ht="12.75" customHeight="1">
      <c r="C62" s="1023">
        <f>SUM(C57:C61)</f>
        <v>0</v>
      </c>
      <c r="D62" s="1023">
        <f>SUM(D57:D61)</f>
        <v>0</v>
      </c>
      <c r="E62" s="1023">
        <f>SUM(E57:E61)</f>
        <v>0</v>
      </c>
      <c r="F62" s="2045">
        <f>SUM(F57:G61)</f>
        <v>0</v>
      </c>
      <c r="G62" s="2045"/>
      <c r="H62" s="1023">
        <f>SUM(H57:H61)</f>
        <v>0</v>
      </c>
      <c r="I62" s="1023">
        <f>SUM(I57:I61)</f>
        <v>0</v>
      </c>
      <c r="J62" s="1024">
        <f>SUM(C62:I62)</f>
        <v>0</v>
      </c>
      <c r="K62" s="1796" t="s">
        <v>878</v>
      </c>
      <c r="L62" s="1796"/>
      <c r="M62" s="1796"/>
      <c r="N62" s="1026">
        <f>IFERROR(U54/V54,0)</f>
        <v>0</v>
      </c>
      <c r="P62" s="82"/>
      <c r="Q62" s="82"/>
      <c r="R62" s="82"/>
      <c r="S62" s="82"/>
      <c r="T62" s="82"/>
      <c r="U62" s="82"/>
      <c r="V62" s="82"/>
      <c r="W62" s="87"/>
      <c r="X62" s="87"/>
      <c r="Y62" s="87"/>
      <c r="Z62" s="82"/>
      <c r="AA62" s="82"/>
      <c r="AB62" s="82"/>
      <c r="AC62" s="82"/>
      <c r="AD62" s="82"/>
      <c r="AE62" s="82"/>
      <c r="AF62" s="82"/>
      <c r="AG62" s="82"/>
      <c r="AH62" s="82"/>
      <c r="AI62" s="82"/>
      <c r="AJ62" s="82"/>
      <c r="AK62" s="82"/>
      <c r="AL62" s="82"/>
      <c r="AM62" s="82"/>
      <c r="AN62" s="82"/>
      <c r="AO62" s="82"/>
      <c r="AP62" s="82"/>
      <c r="AQ62" s="82"/>
      <c r="AR62" s="82"/>
    </row>
    <row r="63" spans="2:44" ht="13.5" customHeight="1">
      <c r="B63" s="244"/>
      <c r="O63" s="422"/>
      <c r="P63" s="936"/>
      <c r="Z63" s="82"/>
      <c r="AA63" s="82"/>
      <c r="AB63" s="82"/>
      <c r="AC63" s="82"/>
      <c r="AD63" s="82"/>
      <c r="AE63" s="247"/>
      <c r="AF63" s="82"/>
    </row>
    <row r="64" spans="2:44" ht="13.5" customHeight="1">
      <c r="O64" s="423"/>
      <c r="P64" s="937"/>
      <c r="AE64" s="247"/>
      <c r="AG64" s="247"/>
      <c r="AH64" s="247"/>
      <c r="AI64" s="247"/>
      <c r="AJ64" s="247"/>
      <c r="AK64" s="247"/>
      <c r="AL64" s="247"/>
      <c r="AM64" s="247"/>
      <c r="AN64" s="247"/>
      <c r="AO64" s="247"/>
      <c r="AP64" s="247"/>
      <c r="AQ64" s="247"/>
    </row>
    <row r="65" spans="3:44" s="245" customFormat="1" ht="12.75" customHeight="1">
      <c r="P65" s="247"/>
      <c r="Q65" s="247"/>
      <c r="R65" s="800"/>
      <c r="S65" s="800"/>
      <c r="T65" s="800"/>
      <c r="U65" s="800"/>
      <c r="V65" s="800"/>
      <c r="W65" s="217"/>
      <c r="X65" s="217"/>
      <c r="Y65" s="217"/>
      <c r="Z65" s="800"/>
      <c r="AA65" s="800"/>
      <c r="AB65" s="800"/>
      <c r="AC65" s="800"/>
      <c r="AD65" s="800"/>
      <c r="AE65" s="247"/>
      <c r="AF65" s="800"/>
      <c r="AG65" s="247"/>
      <c r="AH65" s="247"/>
      <c r="AI65" s="247"/>
      <c r="AJ65" s="247"/>
      <c r="AK65" s="247"/>
      <c r="AL65" s="247"/>
      <c r="AM65" s="247"/>
      <c r="AN65" s="247"/>
      <c r="AO65" s="247"/>
      <c r="AP65" s="247"/>
      <c r="AQ65" s="247"/>
      <c r="AR65" s="247"/>
    </row>
    <row r="66" spans="3:44" s="245" customFormat="1" ht="12.75" customHeight="1">
      <c r="P66" s="247"/>
      <c r="Q66" s="247"/>
      <c r="R66" s="800"/>
      <c r="S66" s="82"/>
      <c r="T66" s="82"/>
      <c r="U66" s="82"/>
      <c r="V66" s="82"/>
      <c r="W66" s="87"/>
      <c r="X66" s="87"/>
      <c r="Y66" s="87"/>
      <c r="Z66" s="248"/>
      <c r="AA66" s="247"/>
      <c r="AB66" s="247"/>
      <c r="AC66" s="247"/>
      <c r="AD66" s="247"/>
      <c r="AE66" s="247"/>
      <c r="AF66" s="247"/>
      <c r="AG66" s="247"/>
      <c r="AH66" s="247"/>
      <c r="AI66" s="247"/>
      <c r="AJ66" s="800"/>
      <c r="AK66" s="800"/>
      <c r="AL66" s="800"/>
      <c r="AM66" s="800"/>
      <c r="AN66" s="800"/>
      <c r="AO66" s="247"/>
      <c r="AP66" s="247"/>
      <c r="AQ66" s="247"/>
      <c r="AR66" s="247"/>
    </row>
    <row r="67" spans="3:44" s="245" customFormat="1" ht="12.75" customHeight="1">
      <c r="P67" s="247"/>
      <c r="Q67" s="247"/>
      <c r="R67" s="82"/>
      <c r="S67" s="82"/>
      <c r="T67" s="82"/>
      <c r="U67" s="82"/>
      <c r="V67" s="82"/>
      <c r="W67" s="217"/>
      <c r="X67" s="217"/>
      <c r="Y67" s="217"/>
      <c r="Z67" s="248"/>
      <c r="AA67" s="82"/>
      <c r="AB67" s="938">
        <v>1</v>
      </c>
      <c r="AC67" s="939">
        <v>2</v>
      </c>
      <c r="AD67" s="940">
        <v>3</v>
      </c>
      <c r="AE67" s="940">
        <v>4</v>
      </c>
      <c r="AF67" s="941">
        <v>5</v>
      </c>
      <c r="AG67" s="942">
        <v>6</v>
      </c>
      <c r="AH67" s="943">
        <v>7</v>
      </c>
      <c r="AI67" s="944">
        <v>8</v>
      </c>
      <c r="AJ67" s="800"/>
      <c r="AK67" s="800"/>
      <c r="AL67" s="800"/>
      <c r="AM67" s="800"/>
      <c r="AN67" s="800"/>
      <c r="AO67" s="247"/>
      <c r="AP67" s="247"/>
      <c r="AQ67" s="247"/>
      <c r="AR67" s="247"/>
    </row>
    <row r="68" spans="3:44" s="245" customFormat="1" ht="12.75" customHeight="1">
      <c r="P68" s="247"/>
      <c r="Q68" s="247"/>
      <c r="R68" s="82"/>
      <c r="S68" s="800"/>
      <c r="T68" s="800"/>
      <c r="U68" s="800"/>
      <c r="V68" s="800"/>
      <c r="W68" s="217"/>
      <c r="X68" s="217"/>
      <c r="Y68" s="217"/>
      <c r="Z68" s="248"/>
      <c r="AA68" s="945" t="s">
        <v>664</v>
      </c>
      <c r="AB68" s="946" t="str">
        <f>IFERROR(IF(OR($D$14="",$D$14="Not Listed"),"",INDEX('Income Limits'!$K$3:$K$266,MATCH($X$4,County,0))),"")</f>
        <v/>
      </c>
      <c r="AC68" s="947" t="str">
        <f>IFERROR(IF(OR($D$14="",$D$14="Not Listed"),"",INDEX('Income Limits'!$L$3:$L$266,MATCH($X$4,County,0))),"")</f>
        <v/>
      </c>
      <c r="AD68" s="947" t="str">
        <f>IFERROR(IF(OR($D$14="",$D$14="Not Listed"),"",INDEX('Income Limits'!$M$3:$M$266,MATCH($X$4,County,0))),"")</f>
        <v/>
      </c>
      <c r="AE68" s="947" t="str">
        <f>IFERROR(IF(OR($D$14="",$D$14="Not Listed"),"",INDEX('Income Limits'!$N$3:$N$266,MATCH($X$4,County,0))),"")</f>
        <v/>
      </c>
      <c r="AF68" s="947" t="str">
        <f>IFERROR(IF(OR($D$14="",$D$14="Not Listed"),"",INDEX('Income Limits'!$O$3:$O$266,MATCH($X$4,County,0))),"")</f>
        <v/>
      </c>
      <c r="AG68" s="947" t="str">
        <f>IFERROR(IF(OR($D$14="",$D$14="Not Listed"),"",INDEX('Income Limits'!$P$3:$P$266,MATCH($X$4,County,0))),"")</f>
        <v/>
      </c>
      <c r="AH68" s="947" t="str">
        <f>IFERROR(IF(OR($D$14="",$D$14="Not Listed"),"",INDEX('Income Limits'!$Q$3:$Q$266,MATCH($X$4,County,0))),"")</f>
        <v/>
      </c>
      <c r="AI68" s="947" t="str">
        <f>IFERROR(IF(OR($D$14="",$D$14="Not Listed"),"",INDEX('Income Limits'!$R$3:$R$266,MATCH($X$4,County,0))),"")</f>
        <v/>
      </c>
      <c r="AJ68" s="800"/>
      <c r="AK68" s="800"/>
      <c r="AL68" s="800"/>
      <c r="AM68" s="800"/>
      <c r="AN68" s="800"/>
      <c r="AO68" s="247"/>
      <c r="AP68" s="247"/>
      <c r="AQ68" s="247"/>
      <c r="AR68" s="247"/>
    </row>
    <row r="69" spans="3:44" s="245" customFormat="1" ht="12.75" customHeight="1">
      <c r="P69" s="247"/>
      <c r="Q69" s="247"/>
      <c r="R69" s="800"/>
      <c r="S69" s="800"/>
      <c r="T69" s="800"/>
      <c r="U69" s="800"/>
      <c r="V69" s="800"/>
      <c r="W69" s="248"/>
      <c r="X69" s="248"/>
      <c r="Y69" s="248"/>
      <c r="Z69" s="248"/>
      <c r="AA69" s="948" t="s">
        <v>713</v>
      </c>
      <c r="AB69" s="949" t="str">
        <f>IFERROR(IF(OR($D$14="",$D$14="Not Listed"),"",INDEX('Income Limits'!$C$3:$C$266,MATCH($X$4,County,0))),"")</f>
        <v/>
      </c>
      <c r="AC69" s="950" t="str">
        <f>IFERROR(IF(OR($D$14="",$D$14="Not Listed"),"",INDEX('Income Limits'!$D$3:$D$266,MATCH($X$4,County,0))),"")</f>
        <v/>
      </c>
      <c r="AD69" s="950" t="str">
        <f>IFERROR(IF(OR($D$14="",$D$14="Not Listed"),"",INDEX('Income Limits'!$E$3:$E$266,MATCH($X$4,County,0))),"")</f>
        <v/>
      </c>
      <c r="AE69" s="950" t="str">
        <f>IFERROR(IF(OR($D$14="",$D$14="Not Listed"),"",INDEX('Income Limits'!$F$3:$F$266,MATCH($X$4,County,0))),"")</f>
        <v/>
      </c>
      <c r="AF69" s="950" t="str">
        <f>IFERROR(IF(OR($D$14="",$D$14="Not Listed"),"",INDEX('Income Limits'!$G$3:$G$266,MATCH($X$4,County,0))),"")</f>
        <v/>
      </c>
      <c r="AG69" s="950" t="str">
        <f>IFERROR(IF(OR($D$14="",$D$14="Not Listed"),"",INDEX('Income Limits'!$H$3:$H$266,MATCH($X$4,County,0))),"")</f>
        <v/>
      </c>
      <c r="AH69" s="950" t="str">
        <f>IFERROR(IF(OR($D$14="",$D$14="Not Listed"),"",INDEX('Income Limits'!$I$3:$I$266,MATCH($X$4,County,0))),"")</f>
        <v/>
      </c>
      <c r="AI69" s="950" t="str">
        <f>IFERROR(IF(OR($D$14="",$D$14="Not Listed"),"",INDEX('Income Limits'!$J$3:$J$266,MATCH($X$4,County,0))),"")</f>
        <v/>
      </c>
      <c r="AJ69" s="800"/>
      <c r="AK69" s="800"/>
      <c r="AL69" s="800"/>
      <c r="AM69" s="800"/>
      <c r="AN69" s="800"/>
      <c r="AO69" s="800"/>
      <c r="AP69" s="800"/>
      <c r="AQ69" s="800"/>
      <c r="AR69" s="247"/>
    </row>
    <row r="70" spans="3:44" ht="12.75" customHeight="1">
      <c r="S70" s="247"/>
      <c r="T70" s="247"/>
      <c r="U70" s="247"/>
      <c r="V70" s="247"/>
      <c r="W70" s="248"/>
      <c r="X70" s="248"/>
      <c r="Y70" s="248"/>
      <c r="Z70" s="248"/>
      <c r="AA70" s="948" t="s">
        <v>714</v>
      </c>
      <c r="AB70" s="949" t="str">
        <f>IFERROR(IF(H15&lt;&gt;"",(AB69*2)*0.6,""),"")</f>
        <v/>
      </c>
      <c r="AC70" s="949" t="str">
        <f t="shared" ref="AC70:AI70" si="18">IFERROR(IF(I15&lt;&gt;"",(AC69*2)*0.6,""),"")</f>
        <v/>
      </c>
      <c r="AD70" s="949" t="str">
        <f t="shared" si="18"/>
        <v/>
      </c>
      <c r="AE70" s="949" t="str">
        <f t="shared" si="18"/>
        <v/>
      </c>
      <c r="AF70" s="949" t="str">
        <f t="shared" si="18"/>
        <v/>
      </c>
      <c r="AG70" s="949" t="str">
        <f>IFERROR(IF(M15&lt;&gt;"",(AG69*2)*0.6,""),"")</f>
        <v/>
      </c>
      <c r="AH70" s="949" t="str">
        <f>IFERROR(IF(N15&lt;&gt;"",(AH69*2)*0.6,""),"")</f>
        <v/>
      </c>
      <c r="AI70" s="949" t="str">
        <f t="shared" si="18"/>
        <v/>
      </c>
    </row>
    <row r="71" spans="3:44" ht="12.75" customHeight="1">
      <c r="R71" s="247"/>
      <c r="S71" s="247"/>
      <c r="T71" s="247"/>
      <c r="U71" s="247"/>
      <c r="V71" s="247"/>
      <c r="W71" s="248"/>
      <c r="X71" s="248"/>
      <c r="Y71" s="248"/>
      <c r="Z71" s="217"/>
      <c r="AA71" s="948" t="s">
        <v>715</v>
      </c>
      <c r="AB71" s="949" t="str">
        <f>IFERROR(IF(H15&lt;&gt;"",(AB69*2)*0.7,""),"")</f>
        <v/>
      </c>
      <c r="AC71" s="949" t="str">
        <f t="shared" ref="AC71:AI71" si="19">IFERROR(IF(I15&lt;&gt;"",(AC69*2)*0.7,""),"")</f>
        <v/>
      </c>
      <c r="AD71" s="949" t="str">
        <f t="shared" si="19"/>
        <v/>
      </c>
      <c r="AE71" s="949" t="str">
        <f t="shared" si="19"/>
        <v/>
      </c>
      <c r="AF71" s="949" t="str">
        <f t="shared" si="19"/>
        <v/>
      </c>
      <c r="AG71" s="949" t="str">
        <f t="shared" si="19"/>
        <v/>
      </c>
      <c r="AH71" s="949" t="str">
        <f t="shared" si="19"/>
        <v/>
      </c>
      <c r="AI71" s="949" t="str">
        <f t="shared" si="19"/>
        <v/>
      </c>
    </row>
    <row r="72" spans="3:44">
      <c r="C72" s="7"/>
      <c r="D72" s="245"/>
      <c r="E72" s="245"/>
      <c r="F72" s="245"/>
      <c r="G72" s="245"/>
      <c r="H72" s="245"/>
      <c r="I72" s="245"/>
      <c r="J72" s="245"/>
      <c r="R72" s="247"/>
      <c r="S72" s="247"/>
      <c r="T72" s="247"/>
      <c r="U72" s="247"/>
      <c r="V72" s="247"/>
      <c r="W72" s="248"/>
      <c r="X72" s="248"/>
      <c r="Y72" s="248"/>
      <c r="AA72" s="945" t="s">
        <v>716</v>
      </c>
      <c r="AB72" s="949" t="str">
        <f>IFERROR(IF(OR($D$14="",$D$14="Not Listed"),"",INDEX('Income Limits'!$S$3:$S$266,MATCH($X$4,County,0))),"")</f>
        <v/>
      </c>
      <c r="AC72" s="950" t="str">
        <f>IFERROR(IF(OR($D$14="",$D$14="Not Listed"),"",INDEX('Income Limits'!$T$3:$T$266,MATCH($X$4,County,0))),"")</f>
        <v/>
      </c>
      <c r="AD72" s="950" t="str">
        <f>IFERROR(IF(OR($D$14="",$D$14="Not Listed"),"",INDEX('Income Limits'!$U$3:$U$266,MATCH($X$4,County,0))),"")</f>
        <v/>
      </c>
      <c r="AE72" s="950" t="str">
        <f>IFERROR(IF(OR($D$14="",$D$14="Not Listed"),"",INDEX('Income Limits'!$V$3:$V$266,MATCH($X$4,County,0))),"")</f>
        <v/>
      </c>
      <c r="AF72" s="950" t="str">
        <f>IFERROR(IF(OR($D$14="",$D$14="Not Listed"),"",INDEX('Income Limits'!$W$3:$W$266,MATCH($X$4,County,0))),"")</f>
        <v/>
      </c>
      <c r="AG72" s="950" t="str">
        <f>IFERROR(IF(OR($D$14="",$D$14="Not Listed"),"",INDEX('Income Limits'!$X$3:$X$266,MATCH($X$4,County,0))),"")</f>
        <v/>
      </c>
      <c r="AH72" s="950" t="str">
        <f>IFERROR(IF(OR($D$14="",$D$14="Not Listed"),"",INDEX('Income Limits'!$Y$3:$Y$266,MATCH($X$4,County,0))),"")</f>
        <v/>
      </c>
      <c r="AI72" s="950" t="str">
        <f>IFERROR(IF(OR($D$14="",$D$14="Not Listed"),"",INDEX('Income Limits'!$Z$3:$Z$266,MATCH($X$4,County,0))),"")</f>
        <v/>
      </c>
    </row>
    <row r="73" spans="3:44">
      <c r="C73" s="17"/>
      <c r="D73" s="245"/>
      <c r="E73" s="245"/>
      <c r="F73" s="245"/>
      <c r="G73" s="245"/>
      <c r="H73" s="245"/>
      <c r="I73" s="245"/>
      <c r="J73" s="245"/>
      <c r="R73" s="247"/>
      <c r="S73" s="247"/>
      <c r="T73" s="247"/>
      <c r="U73" s="247"/>
      <c r="V73" s="247"/>
      <c r="W73" s="248"/>
      <c r="X73" s="248"/>
      <c r="Y73" s="248"/>
    </row>
    <row r="74" spans="3:44">
      <c r="C74" s="7"/>
      <c r="N74" s="49"/>
      <c r="O74" s="49"/>
      <c r="R74" s="247"/>
      <c r="S74" s="247"/>
      <c r="T74" s="247"/>
      <c r="U74" s="247"/>
      <c r="V74" s="247"/>
    </row>
    <row r="75" spans="3:44">
      <c r="C75" s="7"/>
      <c r="N75" s="49"/>
      <c r="O75" s="49"/>
      <c r="R75" s="247"/>
    </row>
    <row r="76" spans="3:44">
      <c r="C76" s="249"/>
      <c r="K76" s="127"/>
      <c r="L76" s="127"/>
      <c r="M76" s="127"/>
      <c r="N76" s="127"/>
      <c r="O76" s="49"/>
    </row>
    <row r="77" spans="3:44">
      <c r="C77" s="249"/>
      <c r="J77" s="662"/>
      <c r="N77" s="49"/>
      <c r="O77" s="49"/>
    </row>
    <row r="78" spans="3:44">
      <c r="C78" s="245"/>
      <c r="K78" s="127"/>
      <c r="L78" s="127"/>
      <c r="M78" s="127"/>
      <c r="N78" s="127"/>
      <c r="O78" s="49"/>
    </row>
    <row r="79" spans="3:44">
      <c r="C79" s="245"/>
      <c r="N79" s="49"/>
      <c r="O79" s="49"/>
    </row>
    <row r="80" spans="3:44">
      <c r="C80" s="245"/>
      <c r="N80" s="49"/>
      <c r="O80" s="49"/>
    </row>
    <row r="81" spans="2:43">
      <c r="N81" s="49"/>
      <c r="O81" s="49"/>
      <c r="AP81" s="217"/>
      <c r="AQ81" s="217"/>
    </row>
    <row r="82" spans="2:43" s="217" customFormat="1">
      <c r="B82" s="49"/>
      <c r="C82" s="7"/>
      <c r="D82" s="15"/>
      <c r="E82" s="15"/>
      <c r="F82" s="15"/>
      <c r="G82" s="15"/>
      <c r="H82" s="15"/>
      <c r="I82" s="15"/>
      <c r="J82" s="15"/>
      <c r="R82" s="800"/>
      <c r="S82" s="800"/>
      <c r="T82" s="800"/>
      <c r="U82" s="800"/>
      <c r="V82" s="800"/>
      <c r="Z82" s="800"/>
      <c r="AA82" s="800"/>
      <c r="AB82" s="800"/>
      <c r="AC82" s="800"/>
      <c r="AD82" s="800"/>
      <c r="AE82" s="800"/>
      <c r="AF82" s="800"/>
      <c r="AG82" s="800"/>
      <c r="AH82" s="800"/>
      <c r="AI82" s="800"/>
      <c r="AJ82" s="800"/>
      <c r="AK82" s="800"/>
      <c r="AL82" s="800"/>
      <c r="AM82" s="800"/>
      <c r="AN82" s="800"/>
      <c r="AO82" s="800"/>
    </row>
    <row r="83" spans="2:43" s="217" customFormat="1">
      <c r="B83" s="49"/>
      <c r="C83" s="15"/>
      <c r="D83" s="15"/>
      <c r="E83" s="15"/>
      <c r="F83" s="15"/>
      <c r="G83" s="15"/>
      <c r="H83" s="15"/>
      <c r="I83" s="15"/>
      <c r="J83" s="15"/>
      <c r="K83" s="15"/>
      <c r="L83" s="15"/>
      <c r="M83" s="15"/>
      <c r="N83" s="15"/>
      <c r="O83" s="15"/>
      <c r="P83" s="800"/>
      <c r="Q83" s="800"/>
      <c r="R83" s="800"/>
      <c r="S83" s="800"/>
      <c r="T83" s="800"/>
      <c r="U83" s="800"/>
      <c r="V83" s="800"/>
      <c r="Z83" s="800"/>
      <c r="AA83" s="800"/>
      <c r="AB83" s="800"/>
      <c r="AC83" s="800"/>
      <c r="AD83" s="800"/>
      <c r="AE83" s="800"/>
      <c r="AF83" s="800"/>
      <c r="AG83" s="800"/>
      <c r="AH83" s="800"/>
      <c r="AI83" s="800"/>
      <c r="AJ83" s="800"/>
      <c r="AK83" s="800"/>
      <c r="AL83" s="800"/>
      <c r="AM83" s="800"/>
      <c r="AN83" s="800"/>
      <c r="AO83" s="800"/>
    </row>
    <row r="84" spans="2:43" s="217" customFormat="1">
      <c r="B84" s="49"/>
      <c r="C84" s="15"/>
      <c r="D84" s="15"/>
      <c r="E84" s="15"/>
      <c r="F84" s="15"/>
      <c r="G84" s="15"/>
      <c r="H84" s="15"/>
      <c r="I84" s="15"/>
      <c r="J84" s="15"/>
      <c r="K84" s="15"/>
      <c r="L84" s="15"/>
      <c r="M84" s="15"/>
      <c r="N84" s="15"/>
      <c r="O84" s="15"/>
      <c r="P84" s="800"/>
      <c r="Q84" s="800"/>
      <c r="R84" s="800"/>
      <c r="S84" s="800"/>
      <c r="T84" s="800"/>
      <c r="U84" s="800"/>
      <c r="V84" s="800"/>
      <c r="Z84" s="800"/>
      <c r="AA84" s="800"/>
      <c r="AB84" s="800"/>
      <c r="AC84" s="800"/>
      <c r="AD84" s="800"/>
      <c r="AE84" s="800"/>
      <c r="AF84" s="800"/>
      <c r="AG84" s="800"/>
      <c r="AH84" s="800"/>
      <c r="AI84" s="800"/>
      <c r="AJ84" s="800"/>
      <c r="AK84" s="800"/>
      <c r="AL84" s="800"/>
      <c r="AM84" s="800"/>
      <c r="AN84" s="800"/>
      <c r="AO84" s="800"/>
      <c r="AP84" s="800"/>
      <c r="AQ84" s="800"/>
    </row>
    <row r="85" spans="2:43">
      <c r="C85" s="119"/>
      <c r="D85" s="667"/>
      <c r="E85" s="667"/>
      <c r="F85" s="667"/>
      <c r="G85" s="667"/>
      <c r="L85" s="668"/>
      <c r="M85" s="669"/>
      <c r="AP85" s="217"/>
      <c r="AQ85" s="217"/>
    </row>
    <row r="86" spans="2:43" s="217" customFormat="1">
      <c r="B86" s="49"/>
      <c r="C86" s="76"/>
      <c r="D86" s="667"/>
      <c r="E86" s="667"/>
      <c r="F86" s="667"/>
      <c r="G86" s="667"/>
      <c r="L86" s="668"/>
      <c r="M86" s="633"/>
      <c r="N86" s="15"/>
      <c r="O86" s="15"/>
      <c r="P86" s="800"/>
      <c r="Q86" s="800"/>
      <c r="R86" s="800"/>
      <c r="S86" s="800"/>
      <c r="T86" s="800"/>
      <c r="U86" s="800"/>
      <c r="V86" s="800"/>
      <c r="Z86" s="800"/>
      <c r="AA86" s="800"/>
      <c r="AB86" s="800"/>
      <c r="AC86" s="800"/>
      <c r="AD86" s="800"/>
      <c r="AE86" s="800"/>
      <c r="AF86" s="800"/>
      <c r="AG86" s="800"/>
      <c r="AH86" s="800"/>
      <c r="AI86" s="800"/>
      <c r="AJ86" s="800"/>
      <c r="AK86" s="800"/>
      <c r="AL86" s="800"/>
      <c r="AM86" s="800"/>
      <c r="AN86" s="800"/>
      <c r="AO86" s="800"/>
      <c r="AP86" s="800"/>
      <c r="AQ86" s="800"/>
    </row>
    <row r="87" spans="2:43">
      <c r="C87" s="76"/>
      <c r="D87" s="667"/>
      <c r="E87" s="667"/>
      <c r="F87" s="667"/>
      <c r="G87" s="667"/>
      <c r="L87" s="668"/>
      <c r="M87" s="633"/>
    </row>
    <row r="88" spans="2:43">
      <c r="C88" s="76"/>
      <c r="D88" s="670"/>
      <c r="E88" s="671"/>
      <c r="F88" s="671"/>
      <c r="G88" s="672"/>
      <c r="H88" s="672"/>
      <c r="I88" s="673"/>
      <c r="J88" s="674"/>
      <c r="K88" s="675"/>
      <c r="L88" s="676"/>
      <c r="M88" s="633"/>
      <c r="S88" s="217"/>
      <c r="T88" s="217"/>
      <c r="U88" s="217"/>
      <c r="V88" s="217"/>
    </row>
    <row r="89" spans="2:43">
      <c r="C89" s="76"/>
      <c r="D89" s="670"/>
      <c r="E89" s="671"/>
      <c r="F89" s="671"/>
      <c r="G89" s="672"/>
      <c r="H89" s="672"/>
      <c r="I89" s="677"/>
      <c r="J89" s="678"/>
      <c r="K89" s="675"/>
      <c r="L89" s="676"/>
      <c r="M89" s="633"/>
      <c r="R89" s="217"/>
      <c r="S89" s="217"/>
      <c r="T89" s="217"/>
      <c r="U89" s="217"/>
      <c r="V89" s="217"/>
    </row>
    <row r="90" spans="2:43">
      <c r="C90" s="76"/>
      <c r="D90" s="670"/>
      <c r="E90" s="671"/>
      <c r="F90" s="671"/>
      <c r="R90" s="217"/>
      <c r="S90" s="217"/>
      <c r="T90" s="217"/>
      <c r="U90" s="217"/>
      <c r="V90" s="217"/>
    </row>
    <row r="91" spans="2:43">
      <c r="C91" s="76"/>
      <c r="D91" s="670"/>
      <c r="E91" s="671"/>
      <c r="F91" s="671"/>
      <c r="R91" s="217"/>
      <c r="S91" s="217"/>
      <c r="T91" s="217"/>
      <c r="U91" s="217"/>
      <c r="V91" s="99"/>
    </row>
    <row r="92" spans="2:43">
      <c r="C92" s="76"/>
      <c r="D92" s="670"/>
      <c r="E92" s="671"/>
      <c r="F92" s="671"/>
      <c r="R92" s="217"/>
      <c r="S92" s="217"/>
      <c r="T92" s="217"/>
      <c r="U92" s="217"/>
      <c r="V92" s="951"/>
      <c r="AP92" s="217"/>
      <c r="AQ92" s="217"/>
    </row>
    <row r="93" spans="2:43" s="217" customFormat="1">
      <c r="B93" s="49"/>
      <c r="C93" s="76"/>
      <c r="D93" s="670"/>
      <c r="E93" s="671"/>
      <c r="F93" s="671"/>
      <c r="G93" s="672"/>
      <c r="H93" s="672"/>
      <c r="I93" s="673"/>
      <c r="J93" s="674"/>
      <c r="K93" s="675"/>
      <c r="L93" s="676"/>
      <c r="M93" s="633"/>
      <c r="N93" s="15"/>
      <c r="O93" s="15"/>
      <c r="P93" s="800"/>
      <c r="Q93" s="800"/>
      <c r="V93" s="951"/>
      <c r="Z93" s="800"/>
      <c r="AA93" s="800"/>
      <c r="AB93" s="800"/>
      <c r="AC93" s="800"/>
      <c r="AD93" s="800"/>
      <c r="AE93" s="800"/>
      <c r="AF93" s="800"/>
      <c r="AG93" s="800"/>
      <c r="AH93" s="800"/>
      <c r="AI93" s="800"/>
      <c r="AJ93" s="800"/>
      <c r="AK93" s="800"/>
      <c r="AL93" s="800"/>
      <c r="AM93" s="800"/>
      <c r="AN93" s="800"/>
      <c r="AO93" s="800"/>
    </row>
    <row r="94" spans="2:43" s="217" customFormat="1">
      <c r="B94" s="49"/>
      <c r="C94" s="15"/>
      <c r="D94" s="670"/>
      <c r="E94" s="671"/>
      <c r="F94" s="671"/>
      <c r="G94" s="672"/>
      <c r="H94" s="672"/>
      <c r="I94" s="673"/>
      <c r="J94" s="674"/>
      <c r="K94" s="675"/>
      <c r="L94" s="676"/>
      <c r="M94" s="201"/>
      <c r="N94" s="15"/>
      <c r="O94" s="15"/>
      <c r="P94" s="800"/>
      <c r="Q94" s="800"/>
      <c r="V94" s="951"/>
      <c r="Z94" s="800"/>
      <c r="AA94" s="800"/>
      <c r="AB94" s="800"/>
      <c r="AC94" s="800"/>
      <c r="AD94" s="800"/>
      <c r="AE94" s="800"/>
      <c r="AF94" s="800"/>
      <c r="AG94" s="800"/>
      <c r="AH94" s="800"/>
      <c r="AI94" s="800"/>
      <c r="AJ94" s="800"/>
      <c r="AK94" s="800"/>
      <c r="AL94" s="800"/>
      <c r="AM94" s="800"/>
      <c r="AN94" s="800"/>
      <c r="AO94" s="800"/>
    </row>
    <row r="95" spans="2:43" s="217" customFormat="1">
      <c r="B95" s="49"/>
      <c r="C95" s="15"/>
      <c r="D95" s="670"/>
      <c r="E95" s="671"/>
      <c r="F95" s="671"/>
      <c r="G95" s="672"/>
      <c r="H95" s="672"/>
      <c r="I95" s="673"/>
      <c r="J95" s="674"/>
      <c r="K95" s="675"/>
      <c r="L95" s="676"/>
      <c r="M95" s="201"/>
      <c r="N95" s="15"/>
      <c r="O95" s="15"/>
      <c r="P95" s="800"/>
      <c r="Q95" s="800"/>
      <c r="V95" s="951"/>
      <c r="Z95" s="800"/>
      <c r="AA95" s="800"/>
      <c r="AB95" s="800"/>
      <c r="AC95" s="800"/>
      <c r="AD95" s="800"/>
      <c r="AE95" s="800"/>
      <c r="AF95" s="800"/>
      <c r="AG95" s="800"/>
      <c r="AH95" s="800"/>
      <c r="AI95" s="800"/>
      <c r="AJ95" s="800"/>
      <c r="AK95" s="800"/>
      <c r="AL95" s="800"/>
      <c r="AM95" s="800"/>
      <c r="AN95" s="800"/>
      <c r="AO95" s="800"/>
    </row>
    <row r="96" spans="2:43" s="217" customFormat="1">
      <c r="B96" s="49"/>
      <c r="C96" s="15"/>
      <c r="D96" s="670"/>
      <c r="E96" s="671"/>
      <c r="F96" s="671"/>
      <c r="G96" s="672"/>
      <c r="H96" s="672"/>
      <c r="I96" s="673"/>
      <c r="J96" s="674"/>
      <c r="K96" s="675"/>
      <c r="L96" s="676"/>
      <c r="M96" s="201"/>
      <c r="N96" s="15"/>
      <c r="O96" s="15"/>
      <c r="P96" s="800"/>
      <c r="Q96" s="800"/>
      <c r="V96" s="951"/>
      <c r="Z96" s="800"/>
      <c r="AA96" s="800"/>
      <c r="AB96" s="800"/>
      <c r="AC96" s="800"/>
      <c r="AD96" s="800"/>
      <c r="AE96" s="800"/>
      <c r="AF96" s="800"/>
      <c r="AG96" s="800"/>
      <c r="AH96" s="800"/>
      <c r="AI96" s="800"/>
      <c r="AJ96" s="800"/>
      <c r="AK96" s="800"/>
      <c r="AL96" s="800"/>
      <c r="AM96" s="800"/>
      <c r="AN96" s="800"/>
      <c r="AO96" s="800"/>
    </row>
    <row r="97" spans="2:43" s="217" customFormat="1">
      <c r="B97" s="49"/>
      <c r="C97" s="15"/>
      <c r="D97" s="670"/>
      <c r="E97" s="671"/>
      <c r="F97" s="671"/>
      <c r="G97" s="672"/>
      <c r="H97" s="672"/>
      <c r="I97" s="673"/>
      <c r="J97" s="674"/>
      <c r="K97" s="675"/>
      <c r="L97" s="676"/>
      <c r="M97" s="201"/>
      <c r="N97" s="15"/>
      <c r="O97" s="15"/>
      <c r="P97" s="800"/>
      <c r="Q97" s="800"/>
      <c r="V97" s="951"/>
      <c r="Z97" s="800"/>
      <c r="AA97" s="800"/>
      <c r="AB97" s="800"/>
      <c r="AC97" s="800"/>
      <c r="AD97" s="800"/>
      <c r="AE97" s="800"/>
      <c r="AF97" s="800"/>
      <c r="AG97" s="800"/>
      <c r="AH97" s="800"/>
      <c r="AI97" s="800"/>
      <c r="AJ97" s="800"/>
      <c r="AK97" s="800"/>
      <c r="AL97" s="800"/>
      <c r="AM97" s="800"/>
      <c r="AN97" s="800"/>
      <c r="AO97" s="800"/>
    </row>
    <row r="98" spans="2:43" s="217" customFormat="1">
      <c r="B98" s="49"/>
      <c r="C98" s="15"/>
      <c r="D98" s="679"/>
      <c r="E98" s="680"/>
      <c r="F98" s="680"/>
      <c r="G98" s="680"/>
      <c r="H98" s="680"/>
      <c r="I98" s="680"/>
      <c r="J98" s="680"/>
      <c r="K98" s="680"/>
      <c r="L98" s="666"/>
      <c r="M98" s="201"/>
      <c r="N98" s="15"/>
      <c r="O98" s="15"/>
      <c r="P98" s="800"/>
      <c r="Q98" s="800"/>
      <c r="V98" s="951"/>
      <c r="Z98" s="800"/>
      <c r="AA98" s="800"/>
      <c r="AB98" s="800"/>
      <c r="AC98" s="800"/>
      <c r="AD98" s="800"/>
      <c r="AE98" s="800"/>
      <c r="AF98" s="800"/>
      <c r="AG98" s="800"/>
      <c r="AH98" s="800"/>
      <c r="AI98" s="800"/>
      <c r="AJ98" s="800"/>
      <c r="AK98" s="800"/>
      <c r="AL98" s="800"/>
      <c r="AM98" s="800"/>
      <c r="AN98" s="800"/>
      <c r="AO98" s="800"/>
    </row>
    <row r="99" spans="2:43" s="217" customFormat="1">
      <c r="B99" s="49"/>
      <c r="C99" s="15"/>
      <c r="D99" s="621"/>
      <c r="E99" s="635"/>
      <c r="F99" s="635"/>
      <c r="G99" s="636"/>
      <c r="H99" s="636"/>
      <c r="I99" s="637"/>
      <c r="J99" s="638"/>
      <c r="K99" s="103"/>
      <c r="L99" s="639"/>
      <c r="M99" s="15"/>
      <c r="N99" s="15"/>
      <c r="O99" s="15"/>
      <c r="P99" s="800"/>
      <c r="Q99" s="800"/>
      <c r="V99" s="951"/>
      <c r="Z99" s="800"/>
      <c r="AA99" s="800"/>
      <c r="AB99" s="800"/>
      <c r="AC99" s="800"/>
      <c r="AD99" s="800"/>
      <c r="AE99" s="800"/>
      <c r="AF99" s="800"/>
      <c r="AG99" s="800"/>
      <c r="AH99" s="800"/>
      <c r="AI99" s="800"/>
      <c r="AJ99" s="800"/>
      <c r="AK99" s="800"/>
      <c r="AL99" s="800"/>
      <c r="AM99" s="800"/>
      <c r="AN99" s="800"/>
      <c r="AO99" s="800"/>
    </row>
    <row r="100" spans="2:43" s="217" customFormat="1">
      <c r="B100" s="49"/>
      <c r="N100" s="15"/>
      <c r="O100" s="15"/>
      <c r="P100" s="800"/>
      <c r="Q100" s="800"/>
      <c r="Z100" s="800"/>
      <c r="AA100" s="800"/>
      <c r="AB100" s="800"/>
      <c r="AC100" s="800"/>
      <c r="AD100" s="800"/>
      <c r="AE100" s="800"/>
      <c r="AF100" s="800"/>
      <c r="AG100" s="800"/>
      <c r="AH100" s="800"/>
      <c r="AI100" s="800"/>
      <c r="AJ100" s="800"/>
      <c r="AK100" s="800"/>
      <c r="AL100" s="800"/>
      <c r="AM100" s="800"/>
      <c r="AN100" s="800"/>
      <c r="AO100" s="800"/>
    </row>
    <row r="101" spans="2:43" s="217" customFormat="1">
      <c r="B101" s="49"/>
      <c r="N101" s="15"/>
      <c r="O101" s="15"/>
      <c r="P101" s="800"/>
      <c r="Q101" s="800"/>
      <c r="Z101" s="800"/>
      <c r="AA101" s="800"/>
      <c r="AB101" s="800"/>
      <c r="AC101" s="800"/>
      <c r="AD101" s="800"/>
      <c r="AE101" s="800"/>
      <c r="AF101" s="800"/>
      <c r="AG101" s="800"/>
      <c r="AH101" s="800"/>
      <c r="AI101" s="800"/>
      <c r="AJ101" s="800"/>
      <c r="AK101" s="800"/>
      <c r="AL101" s="800"/>
      <c r="AM101" s="800"/>
      <c r="AN101" s="800"/>
      <c r="AO101" s="800"/>
    </row>
    <row r="102" spans="2:43" s="217" customFormat="1">
      <c r="B102" s="49"/>
      <c r="N102" s="15"/>
      <c r="O102" s="15"/>
      <c r="P102" s="800"/>
      <c r="Q102" s="800"/>
      <c r="Z102" s="800"/>
      <c r="AA102" s="800"/>
      <c r="AB102" s="800"/>
      <c r="AC102" s="800"/>
      <c r="AD102" s="800"/>
      <c r="AE102" s="800"/>
      <c r="AF102" s="800"/>
      <c r="AG102" s="800"/>
      <c r="AH102" s="800"/>
      <c r="AI102" s="800"/>
      <c r="AJ102" s="800"/>
      <c r="AK102" s="800"/>
      <c r="AL102" s="800"/>
      <c r="AM102" s="800"/>
      <c r="AN102" s="800"/>
      <c r="AO102" s="800"/>
    </row>
    <row r="103" spans="2:43" s="217" customFormat="1">
      <c r="B103" s="49"/>
      <c r="C103" s="15"/>
      <c r="D103" s="15"/>
      <c r="E103" s="15"/>
      <c r="F103" s="15"/>
      <c r="G103" s="15"/>
      <c r="H103" s="15"/>
      <c r="I103" s="15"/>
      <c r="J103" s="15"/>
      <c r="K103" s="15"/>
      <c r="L103" s="15"/>
      <c r="M103" s="15"/>
      <c r="N103" s="15"/>
      <c r="O103" s="15"/>
      <c r="P103" s="800"/>
      <c r="Q103" s="800"/>
      <c r="Z103" s="800"/>
      <c r="AA103" s="800"/>
      <c r="AB103" s="800"/>
      <c r="AC103" s="800"/>
      <c r="AD103" s="800"/>
      <c r="AE103" s="800"/>
      <c r="AF103" s="800"/>
      <c r="AG103" s="800"/>
      <c r="AH103" s="800"/>
      <c r="AI103" s="800"/>
      <c r="AJ103" s="800"/>
      <c r="AK103" s="800"/>
      <c r="AL103" s="800"/>
      <c r="AM103" s="800"/>
      <c r="AN103" s="800"/>
      <c r="AO103" s="800"/>
    </row>
    <row r="104" spans="2:43" s="217" customFormat="1">
      <c r="B104" s="49"/>
      <c r="C104" s="15"/>
      <c r="D104" s="15"/>
      <c r="E104" s="15"/>
      <c r="F104" s="15"/>
      <c r="G104" s="15"/>
      <c r="H104" s="15"/>
      <c r="I104" s="15"/>
      <c r="J104" s="15"/>
      <c r="K104" s="15"/>
      <c r="L104" s="15"/>
      <c r="M104" s="15"/>
      <c r="N104" s="15"/>
      <c r="O104" s="15"/>
      <c r="P104" s="800"/>
      <c r="Q104" s="800"/>
      <c r="Z104" s="800"/>
      <c r="AA104" s="800"/>
      <c r="AB104" s="800"/>
      <c r="AC104" s="800"/>
      <c r="AD104" s="800"/>
      <c r="AE104" s="800"/>
      <c r="AF104" s="800"/>
      <c r="AG104" s="800"/>
      <c r="AH104" s="800"/>
      <c r="AI104" s="800"/>
      <c r="AJ104" s="800"/>
      <c r="AK104" s="800"/>
      <c r="AL104" s="800"/>
      <c r="AM104" s="800"/>
      <c r="AN104" s="800"/>
      <c r="AO104" s="800"/>
    </row>
    <row r="105" spans="2:43" s="217" customFormat="1">
      <c r="B105" s="49"/>
      <c r="C105" s="15"/>
      <c r="D105" s="15"/>
      <c r="E105" s="15"/>
      <c r="F105" s="15"/>
      <c r="G105" s="15"/>
      <c r="H105" s="15"/>
      <c r="I105" s="15"/>
      <c r="J105" s="15"/>
      <c r="K105" s="15"/>
      <c r="L105" s="15"/>
      <c r="M105" s="15"/>
      <c r="N105" s="15"/>
      <c r="O105" s="15"/>
      <c r="P105" s="800"/>
      <c r="Q105" s="800"/>
      <c r="Z105" s="800"/>
      <c r="AA105" s="800"/>
      <c r="AB105" s="800"/>
      <c r="AC105" s="800"/>
      <c r="AD105" s="800"/>
      <c r="AE105" s="800"/>
      <c r="AF105" s="800"/>
      <c r="AG105" s="800"/>
      <c r="AH105" s="800"/>
      <c r="AI105" s="800"/>
      <c r="AJ105" s="800"/>
      <c r="AK105" s="800"/>
      <c r="AL105" s="800"/>
      <c r="AM105" s="800"/>
      <c r="AN105" s="800"/>
      <c r="AO105" s="800"/>
    </row>
    <row r="106" spans="2:43" s="217" customFormat="1">
      <c r="B106" s="49"/>
      <c r="C106" s="15"/>
      <c r="D106" s="15"/>
      <c r="E106" s="15"/>
      <c r="F106" s="15"/>
      <c r="G106" s="15"/>
      <c r="H106" s="15"/>
      <c r="I106" s="15"/>
      <c r="J106" s="15"/>
      <c r="K106" s="15"/>
      <c r="L106" s="15"/>
      <c r="M106" s="15"/>
      <c r="N106" s="15"/>
      <c r="O106" s="15"/>
      <c r="P106" s="800"/>
      <c r="Q106" s="800"/>
      <c r="Z106" s="800"/>
      <c r="AA106" s="800"/>
      <c r="AB106" s="800"/>
      <c r="AC106" s="800"/>
      <c r="AD106" s="800"/>
      <c r="AE106" s="800"/>
      <c r="AF106" s="800"/>
      <c r="AG106" s="800"/>
      <c r="AH106" s="800"/>
      <c r="AI106" s="800"/>
      <c r="AJ106" s="800"/>
      <c r="AK106" s="800"/>
      <c r="AL106" s="800"/>
      <c r="AM106" s="800"/>
      <c r="AN106" s="800"/>
      <c r="AO106" s="800"/>
    </row>
    <row r="107" spans="2:43" s="217" customFormat="1">
      <c r="B107" s="49"/>
      <c r="C107" s="15"/>
      <c r="D107" s="15"/>
      <c r="E107" s="15"/>
      <c r="F107" s="15"/>
      <c r="G107" s="15"/>
      <c r="H107" s="15"/>
      <c r="I107" s="15"/>
      <c r="J107" s="15"/>
      <c r="K107" s="15"/>
      <c r="L107" s="15"/>
      <c r="M107" s="15"/>
      <c r="N107" s="15"/>
      <c r="O107" s="15"/>
      <c r="P107" s="800"/>
      <c r="Q107" s="800"/>
      <c r="Z107" s="800"/>
      <c r="AA107" s="800"/>
      <c r="AB107" s="800"/>
      <c r="AC107" s="800"/>
      <c r="AD107" s="800"/>
      <c r="AE107" s="800"/>
      <c r="AF107" s="800"/>
      <c r="AG107" s="800"/>
      <c r="AH107" s="800"/>
      <c r="AI107" s="800"/>
      <c r="AJ107" s="800"/>
      <c r="AK107" s="800"/>
      <c r="AL107" s="800"/>
      <c r="AM107" s="800"/>
      <c r="AN107" s="800"/>
      <c r="AO107" s="800"/>
    </row>
    <row r="108" spans="2:43" s="217" customFormat="1">
      <c r="B108" s="49"/>
      <c r="C108" s="15"/>
      <c r="D108" s="15"/>
      <c r="E108" s="15"/>
      <c r="F108" s="15"/>
      <c r="G108" s="15"/>
      <c r="H108" s="15"/>
      <c r="I108" s="15"/>
      <c r="J108" s="15"/>
      <c r="K108" s="15"/>
      <c r="L108" s="15"/>
      <c r="M108" s="15"/>
      <c r="N108" s="15"/>
      <c r="O108" s="15"/>
      <c r="P108" s="800"/>
      <c r="Q108" s="800"/>
      <c r="S108" s="800"/>
      <c r="T108" s="800"/>
      <c r="U108" s="800"/>
      <c r="V108" s="800"/>
      <c r="Z108" s="800"/>
      <c r="AA108" s="800"/>
      <c r="AB108" s="800"/>
      <c r="AC108" s="800"/>
      <c r="AD108" s="800"/>
      <c r="AE108" s="800"/>
      <c r="AF108" s="800"/>
      <c r="AG108" s="800"/>
      <c r="AH108" s="800"/>
      <c r="AI108" s="800"/>
      <c r="AJ108" s="800"/>
      <c r="AK108" s="800"/>
      <c r="AL108" s="800"/>
      <c r="AM108" s="800"/>
      <c r="AN108" s="800"/>
      <c r="AO108" s="800"/>
    </row>
    <row r="109" spans="2:43" s="217" customFormat="1">
      <c r="B109" s="49"/>
      <c r="C109" s="15"/>
      <c r="D109" s="15"/>
      <c r="E109" s="15"/>
      <c r="F109" s="15"/>
      <c r="G109" s="15"/>
      <c r="H109" s="15"/>
      <c r="I109" s="15"/>
      <c r="J109" s="15"/>
      <c r="K109" s="15"/>
      <c r="L109" s="15"/>
      <c r="M109" s="15"/>
      <c r="N109" s="15"/>
      <c r="O109" s="15"/>
      <c r="P109" s="800"/>
      <c r="Q109" s="800"/>
      <c r="R109" s="800"/>
      <c r="S109" s="800"/>
      <c r="T109" s="800"/>
      <c r="U109" s="800"/>
      <c r="V109" s="800"/>
      <c r="Z109" s="800"/>
      <c r="AA109" s="800"/>
      <c r="AB109" s="800"/>
      <c r="AC109" s="800"/>
      <c r="AD109" s="800"/>
      <c r="AE109" s="800"/>
      <c r="AF109" s="800"/>
      <c r="AG109" s="800"/>
      <c r="AH109" s="800"/>
      <c r="AI109" s="800"/>
      <c r="AJ109" s="800"/>
      <c r="AK109" s="800"/>
      <c r="AL109" s="800"/>
      <c r="AM109" s="800"/>
      <c r="AN109" s="800"/>
      <c r="AO109" s="800"/>
    </row>
    <row r="110" spans="2:43" s="217" customFormat="1">
      <c r="B110" s="49"/>
      <c r="C110" s="15"/>
      <c r="D110" s="15"/>
      <c r="E110" s="15"/>
      <c r="F110" s="15"/>
      <c r="G110" s="15"/>
      <c r="H110" s="15"/>
      <c r="I110" s="15"/>
      <c r="J110" s="15"/>
      <c r="K110" s="15"/>
      <c r="L110" s="15"/>
      <c r="M110" s="15"/>
      <c r="N110" s="15"/>
      <c r="O110" s="15"/>
      <c r="P110" s="800"/>
      <c r="Q110" s="800"/>
      <c r="R110" s="800"/>
      <c r="S110" s="800"/>
      <c r="T110" s="800"/>
      <c r="U110" s="800"/>
      <c r="V110" s="800"/>
      <c r="Z110" s="800"/>
      <c r="AA110" s="800"/>
      <c r="AB110" s="800"/>
      <c r="AC110" s="800"/>
      <c r="AD110" s="800"/>
      <c r="AE110" s="800"/>
      <c r="AF110" s="800"/>
      <c r="AG110" s="800"/>
      <c r="AH110" s="800"/>
      <c r="AI110" s="800"/>
      <c r="AJ110" s="800"/>
      <c r="AK110" s="800"/>
      <c r="AL110" s="800"/>
      <c r="AM110" s="800"/>
      <c r="AN110" s="800"/>
      <c r="AO110" s="800"/>
    </row>
    <row r="111" spans="2:43" s="217" customFormat="1">
      <c r="B111" s="49"/>
      <c r="C111" s="15"/>
      <c r="D111" s="15"/>
      <c r="E111" s="15"/>
      <c r="F111" s="15"/>
      <c r="G111" s="15"/>
      <c r="H111" s="15"/>
      <c r="I111" s="15"/>
      <c r="J111" s="15"/>
      <c r="K111" s="15"/>
      <c r="L111" s="15"/>
      <c r="M111" s="15"/>
      <c r="N111" s="15"/>
      <c r="O111" s="15"/>
      <c r="P111" s="800"/>
      <c r="Q111" s="800"/>
      <c r="R111" s="800"/>
      <c r="S111" s="800"/>
      <c r="T111" s="800"/>
      <c r="U111" s="800"/>
      <c r="V111" s="800"/>
      <c r="Z111" s="800"/>
      <c r="AA111" s="800"/>
      <c r="AB111" s="800"/>
      <c r="AC111" s="800"/>
      <c r="AD111" s="800"/>
      <c r="AE111" s="800"/>
      <c r="AF111" s="800"/>
      <c r="AG111" s="800"/>
      <c r="AH111" s="800"/>
      <c r="AI111" s="800"/>
      <c r="AJ111" s="800"/>
      <c r="AK111" s="800"/>
      <c r="AL111" s="800"/>
      <c r="AM111" s="800"/>
      <c r="AN111" s="800"/>
      <c r="AO111" s="800"/>
    </row>
    <row r="112" spans="2:43" s="217" customFormat="1">
      <c r="B112" s="49"/>
      <c r="C112" s="15"/>
      <c r="D112" s="15"/>
      <c r="E112" s="15"/>
      <c r="F112" s="15"/>
      <c r="G112" s="15"/>
      <c r="H112" s="15"/>
      <c r="I112" s="15"/>
      <c r="J112" s="15"/>
      <c r="K112" s="15"/>
      <c r="L112" s="15"/>
      <c r="M112" s="15"/>
      <c r="N112" s="15"/>
      <c r="O112" s="15"/>
      <c r="P112" s="800"/>
      <c r="Q112" s="800"/>
      <c r="R112" s="800"/>
      <c r="S112" s="800"/>
      <c r="T112" s="800"/>
      <c r="U112" s="800"/>
      <c r="V112" s="800"/>
      <c r="Z112" s="800"/>
      <c r="AA112" s="800"/>
      <c r="AB112" s="800"/>
      <c r="AC112" s="800"/>
      <c r="AD112" s="800"/>
      <c r="AE112" s="800"/>
      <c r="AF112" s="800"/>
      <c r="AG112" s="800"/>
      <c r="AH112" s="800"/>
      <c r="AI112" s="800"/>
      <c r="AJ112" s="800"/>
      <c r="AK112" s="800"/>
      <c r="AL112" s="800"/>
      <c r="AM112" s="800"/>
      <c r="AN112" s="800"/>
      <c r="AO112" s="800"/>
      <c r="AP112" s="800"/>
      <c r="AQ112" s="800"/>
    </row>
  </sheetData>
  <sheetProtection algorithmName="SHA-512" hashValue="bUw8sJ3Nl5d3dsnCJM68F/1RILuIVsTov4OZpVoaSOJKGxixIdQTmxp181aseje7rpDojfdY6YL9qPSHFu0H7A==" saltValue="JgxHyCOl6BRvXWwEpqvSbQ==" spinCount="100000" sheet="1" objects="1" scenarios="1" insertRows="0" selectLockedCells="1"/>
  <mergeCells count="71">
    <mergeCell ref="K62:M62"/>
    <mergeCell ref="C55:C56"/>
    <mergeCell ref="I55:I56"/>
    <mergeCell ref="L60:M60"/>
    <mergeCell ref="E55:E56"/>
    <mergeCell ref="D55:D56"/>
    <mergeCell ref="H55:H56"/>
    <mergeCell ref="F62:G62"/>
    <mergeCell ref="F61:G61"/>
    <mergeCell ref="F60:G60"/>
    <mergeCell ref="F59:G59"/>
    <mergeCell ref="L61:M61"/>
    <mergeCell ref="F58:G58"/>
    <mergeCell ref="F57:G57"/>
    <mergeCell ref="F55:G56"/>
    <mergeCell ref="C25:C26"/>
    <mergeCell ref="F29:G29"/>
    <mergeCell ref="P25:P26"/>
    <mergeCell ref="D25:D26"/>
    <mergeCell ref="B25:B26"/>
    <mergeCell ref="O25:O26"/>
    <mergeCell ref="F25:G26"/>
    <mergeCell ref="N25:N26"/>
    <mergeCell ref="H25:H26"/>
    <mergeCell ref="I25:I26"/>
    <mergeCell ref="J25:J26"/>
    <mergeCell ref="K25:K26"/>
    <mergeCell ref="L25:L26"/>
    <mergeCell ref="M25:M26"/>
    <mergeCell ref="F40:G40"/>
    <mergeCell ref="F41:G41"/>
    <mergeCell ref="D19:E19"/>
    <mergeCell ref="F27:G27"/>
    <mergeCell ref="F28:G28"/>
    <mergeCell ref="F37:G37"/>
    <mergeCell ref="F38:G38"/>
    <mergeCell ref="F39:G39"/>
    <mergeCell ref="F35:G35"/>
    <mergeCell ref="F36:G36"/>
    <mergeCell ref="F33:G33"/>
    <mergeCell ref="F34:G34"/>
    <mergeCell ref="E25:E26"/>
    <mergeCell ref="F31:G31"/>
    <mergeCell ref="F32:G32"/>
    <mergeCell ref="F30:G30"/>
    <mergeCell ref="K1:O1"/>
    <mergeCell ref="H12:O12"/>
    <mergeCell ref="N2:O2"/>
    <mergeCell ref="B23:E23"/>
    <mergeCell ref="J23:M23"/>
    <mergeCell ref="B16:E17"/>
    <mergeCell ref="C20:D20"/>
    <mergeCell ref="F23:G23"/>
    <mergeCell ref="F9:G9"/>
    <mergeCell ref="J8:J9"/>
    <mergeCell ref="D15:E15"/>
    <mergeCell ref="B14:C14"/>
    <mergeCell ref="B15:C15"/>
    <mergeCell ref="H4:O4"/>
    <mergeCell ref="F50:G50"/>
    <mergeCell ref="F51:G51"/>
    <mergeCell ref="F52:G52"/>
    <mergeCell ref="F53:G53"/>
    <mergeCell ref="F42:G42"/>
    <mergeCell ref="F43:G43"/>
    <mergeCell ref="F45:G45"/>
    <mergeCell ref="F46:G46"/>
    <mergeCell ref="F47:G47"/>
    <mergeCell ref="F48:G48"/>
    <mergeCell ref="F49:G49"/>
    <mergeCell ref="F44:G44"/>
  </mergeCells>
  <conditionalFormatting sqref="R23 H14:L18 M13:O18 AH67:AI67">
    <cfRule type="containsErrors" dxfId="179" priority="36">
      <formula>ISERROR(H13)</formula>
    </cfRule>
  </conditionalFormatting>
  <conditionalFormatting sqref="AG67">
    <cfRule type="containsErrors" dxfId="178" priority="20">
      <formula>ISERROR(AG67)</formula>
    </cfRule>
  </conditionalFormatting>
  <conditionalFormatting sqref="B14">
    <cfRule type="expression" dxfId="177" priority="1204">
      <formula>$D$14=""</formula>
    </cfRule>
  </conditionalFormatting>
  <conditionalFormatting sqref="D15:E15">
    <cfRule type="expression" dxfId="176" priority="1205">
      <formula>IF(OR($D$14="Not Listed",$D$14="NAHASDA"),1,0)</formula>
    </cfRule>
  </conditionalFormatting>
  <conditionalFormatting sqref="B19:F19 B16 B18:E18 C20 E20">
    <cfRule type="expression" dxfId="175" priority="1207">
      <formula>$D$14&lt;&gt;"Not Listed"</formula>
    </cfRule>
  </conditionalFormatting>
  <conditionalFormatting sqref="J23">
    <cfRule type="expression" dxfId="174" priority="11">
      <formula>$J$23="Input the Number of Units Reserved for Homeless:"</formula>
    </cfRule>
  </conditionalFormatting>
  <conditionalFormatting sqref="B23 K76:N76">
    <cfRule type="expression" dxfId="173" priority="1208">
      <formula>$B$23="Input the Number of Units Reserved for Special Needs:"</formula>
    </cfRule>
  </conditionalFormatting>
  <conditionalFormatting sqref="E14">
    <cfRule type="expression" dxfId="172" priority="9">
      <formula>IF(OR($D$14="Not Listed",$D$14="NAHASDA"),1,0)</formula>
    </cfRule>
  </conditionalFormatting>
  <conditionalFormatting sqref="B15:C15">
    <cfRule type="expression" dxfId="171" priority="6">
      <formula>$B$15="Select Project County:"</formula>
    </cfRule>
  </conditionalFormatting>
  <conditionalFormatting sqref="B15:C15">
    <cfRule type="expression" dxfId="170" priority="5">
      <formula>IF(OR($D$14="Not Listed",$D$14="NAHASDA"),1,0)</formula>
    </cfRule>
  </conditionalFormatting>
  <conditionalFormatting sqref="AB68:AI72">
    <cfRule type="containsErrors" dxfId="169" priority="3">
      <formula>ISERROR(AB68)</formula>
    </cfRule>
  </conditionalFormatting>
  <conditionalFormatting sqref="P13">
    <cfRule type="containsErrors" dxfId="168" priority="2">
      <formula>ISERROR(P13)</formula>
    </cfRule>
  </conditionalFormatting>
  <conditionalFormatting sqref="Q13">
    <cfRule type="containsErrors" dxfId="167" priority="1">
      <formula>ISERROR(Q13)</formula>
    </cfRule>
  </conditionalFormatting>
  <conditionalFormatting sqref="H4 C6:O6">
    <cfRule type="expression" dxfId="166" priority="1481">
      <formula>$H$4="Input the project name and AHP Project Number at the top of the 'Instructions' tab."</formula>
    </cfRule>
  </conditionalFormatting>
  <dataValidations count="19">
    <dataValidation type="custom" allowBlank="1" showInputMessage="1" showErrorMessage="1" sqref="P3 J8:J9 B8:H8 H9:I9 B9:F9 K8:N8 K9:O9">
      <formula1>"&lt;0&gt;0"</formula1>
    </dataValidation>
    <dataValidation type="custom" allowBlank="1" showInputMessage="1" showErrorMessage="1" sqref="E20">
      <formula1>S15=1</formula1>
    </dataValidation>
    <dataValidation type="custom" allowBlank="1" showInputMessage="1" showErrorMessage="1" sqref="D18">
      <formula1>S15=1</formula1>
    </dataValidation>
    <dataValidation type="decimal" allowBlank="1" showInputMessage="1" showErrorMessage="1" error="A numeric value is required." sqref="I99 I88:I89 I93:I97">
      <formula1>0</formula1>
      <formula2>999.99</formula2>
    </dataValidation>
    <dataValidation type="decimal" allowBlank="1" showInputMessage="1" showErrorMessage="1" error="A numeric value greather than 0 is required." sqref="E88:E97 E99">
      <formula1>0</formula1>
      <formula2>999999999999.99</formula2>
    </dataValidation>
    <dataValidation type="whole" allowBlank="1" showInputMessage="1" showErrorMessage="1" error="A whole number greater than 0 is required." sqref="D99 J99 D88:D97 J88:J89 J93:J97">
      <formula1>1</formula1>
      <formula2>99999</formula2>
    </dataValidation>
    <dataValidation type="list" allowBlank="1" showInputMessage="1" showErrorMessage="1" errorTitle="Select From Dropdown" error="Please select the target AMI from the dropdown." sqref="B27:B53">
      <formula1>$AF$43:$AF$49</formula1>
    </dataValidation>
    <dataValidation type="list" allowBlank="1" showInputMessage="1" showErrorMessage="1" errorTitle="Please Select" error="Please select a value from the dropdown" sqref="C27:C53">
      <formula1>$AG$43:$AG$48</formula1>
    </dataValidation>
    <dataValidation type="whole" showInputMessage="1" showErrorMessage="1" error="Whole numbers are required._x000a__x000a_If the family size exceeds ten, contact the Seattle Bank for instructions." prompt="Input the assumed family size as a whole number only._x000a__x000a_Note: the HUD Income Limit table above only displays income limits for households sizes up to eight persons. However, the Owner-occupied Expense table allows for household sizes up to ten." sqref="E27:E53">
      <formula1>0</formula1>
      <formula2>10</formula2>
    </dataValidation>
    <dataValidation type="whole" allowBlank="1" showInputMessage="1" showErrorMessage="1" error="Whole numbers are required." sqref="D27:D53">
      <formula1>0</formula1>
      <formula2>999999</formula2>
    </dataValidation>
    <dataValidation type="custom" allowBlank="1" showInputMessage="1" showErrorMessage="1" error="A numeric value is required and cannot exceed two decimals." sqref="K88:L89 K93:L97">
      <formula1>K88=INT(K88*100)/100</formula1>
    </dataValidation>
    <dataValidation type="list" allowBlank="1" showInputMessage="1" showErrorMessage="1" error="Select the project state from the dropdown. _x000a__x000a_Select 'Not Listed' for projects located outstide of the Seattle Bank's district." prompt="Select the state and county location to populate the the table with the current year HUD income limits._x000a__x000a_If project state is not listed in the dropdown, select &quot;Not Listed&quot; which will allow for the state, county, and AMI to be input manually." sqref="D14">
      <formula1>$AE$5:$AE$16</formula1>
    </dataValidation>
    <dataValidation type="custom" allowBlank="1" showInputMessage="1" showErrorMessage="1" error="A numeric value is required and cannot exceed two decimals." sqref="L98:L99">
      <formula1>J53:J63=INT(J53:J63*100)/100</formula1>
    </dataValidation>
    <dataValidation type="custom" allowBlank="1" showInputMessage="1" showErrorMessage="1" error="A numeric value is required and cannot exceed two decimals." sqref="K99">
      <formula1>I53:I63=INT(I53:I63*100)/100</formula1>
    </dataValidation>
    <dataValidation type="list" allowBlank="1" showInputMessage="1" showErrorMessage="1" sqref="D15">
      <formula1>IF($AB$7=1,$AE$4,IF(D14=$AE$6,$AF$4:$AF$33,IF(D14=$AE$7,$AG$4:$AG$5,IF(D14=$AE$8,$AH$4:$AH$9,IF(D14=$AE$9,$AI$4:$AI$48,IF(D14=$AE$10,$AJ$4:$AJ$60,IF(D14=$AE$11,$AK$4:$AK$40,IF(D14=$AE$12,$AL$4:$AL$33, IF(D14=$AE$13,$AM$4:$AM$43, IF(D14=$AE$14,$AN$4:$AN$27))))))))))</formula1>
    </dataValidation>
    <dataValidation type="custom" allowBlank="1" showInputMessage="1" showErrorMessage="1" sqref="D19">
      <formula1>S15=1</formula1>
    </dataValidation>
    <dataValidation type="custom" allowBlank="1" showInputMessage="1" showErrorMessage="1" sqref="E19">
      <formula1>T17=1</formula1>
    </dataValidation>
    <dataValidation type="whole" allowBlank="1" showInputMessage="1" showErrorMessage="1" error="A whole number is required. Input 0 if no units are reserved for homeless households." sqref="N23">
      <formula1>0</formula1>
      <formula2>9999999</formula2>
    </dataValidation>
    <dataValidation type="whole" allowBlank="1" showInputMessage="1" showErrorMessage="1" error="A whole number is required. Input 0 if no units are reserved for special needs households." sqref="F23:G23">
      <formula1>0</formula1>
      <formula2>9999999</formula2>
    </dataValidation>
  </dataValidations>
  <hyperlinks>
    <hyperlink ref="C9:D9" display="Sources_x000a_Statement"/>
    <hyperlink ref="F9" display="Rent_x000a_Schedule"/>
    <hyperlink ref="H9" location="'C(1)-Rental Operating ProForma'!L16" display="'C(1)-Rental Operating ProForma'!L16"/>
    <hyperlink ref="L9" location="'F-TIV'!Q17" display="'F-TIV'!Q17"/>
    <hyperlink ref="K9" location="'E-Feasibility Analysis'!M22" display="'E-Feasibility Analysis'!M22"/>
    <hyperlink ref="I9" location="'C(2)-Commercial ProForma'!K16" display="'C(2)-Commercial ProForma'!K16"/>
    <hyperlink ref="E9" location="'A(3)-Sources and Uses Summary'!M14" display="'A(3)-Sources and Uses Summary'!M14"/>
    <hyperlink ref="D9" location="'A(2)-Uses Statement'!H12" display="'A(2)-Uses Statement'!H12"/>
    <hyperlink ref="B9" location="'Project Info and Instructions'!F16" display="Project Info. &amp; Instructions"/>
    <hyperlink ref="N9" location="'Validation Warnings'!M9" display="'Validation Warnings'!M9"/>
    <hyperlink ref="M9" location="'G-Sponsor Provided Financing'!F20" display="'G-Sponsor Provided Financing'!F20"/>
    <hyperlink ref="C9" location="'A(1)-Sources Stmt.'!D19" display="'A(1)-Sources Stmt.'!D19"/>
    <hyperlink ref="F9:G9" location="'B-Rent Schedule'!D13" display="'B-Rent Schedule'!D13"/>
  </hyperlinks>
  <printOptions horizontalCentered="1"/>
  <pageMargins left="0.25" right="0.25" top="0.75" bottom="0.51" header="0.5" footer="0.34"/>
  <pageSetup scale="71" orientation="landscape" verticalDpi="360"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1310" id="{AC659B73-E577-4CF7-8B18-0303EA4B134E}">
            <xm:f>'Project Info and Instructions'!$F$20="Owner-occupied"</xm:f>
            <x14:dxf>
              <font>
                <strike/>
                <color theme="0" tint="-0.34998626667073579"/>
              </font>
              <fill>
                <gradientFill degree="90">
                  <stop position="0">
                    <color theme="0" tint="-0.1490218817712943"/>
                  </stop>
                  <stop position="1">
                    <color theme="0" tint="-0.1490218817712943"/>
                  </stop>
                </gradientFill>
              </fill>
            </x14:dxf>
          </x14:cfRule>
          <xm:sqref>H9</xm:sqref>
        </x14:conditionalFormatting>
        <x14:conditionalFormatting xmlns:xm="http://schemas.microsoft.com/office/excel/2006/main">
          <x14:cfRule type="expression" priority="1311" id="{7485765D-3553-4E0B-B34C-A829F4B7E33A}">
            <xm:f>'Project Info and Instructions'!$F$20="Rental"</xm:f>
            <x14:dxf>
              <font>
                <strike/>
                <color theme="0" tint="-0.34998626667073579"/>
              </font>
              <fill>
                <patternFill>
                  <bgColor theme="0" tint="-0.14996795556505021"/>
                </patternFill>
              </fill>
            </x14:dxf>
          </x14:cfRule>
          <xm:sqref>J8:J10</xm:sqref>
        </x14:conditionalFormatting>
        <x14:conditionalFormatting xmlns:xm="http://schemas.microsoft.com/office/excel/2006/main">
          <x14:cfRule type="expression" priority="1312" id="{E1150FA5-A850-4E5D-834C-CD46E4B95074}">
            <xm:f>'Project Info and Instructions'!$F$22="No"</xm:f>
            <x14:dxf>
              <font>
                <strike/>
                <color theme="0" tint="-0.34998626667073579"/>
              </font>
              <fill>
                <patternFill>
                  <bgColor theme="0" tint="-0.14996795556505021"/>
                </patternFill>
              </fill>
            </x14:dxf>
          </x14:cfRule>
          <x14:cfRule type="expression" priority="1313" id="{8821EDB3-0496-4737-961C-B4A54C7B4B30}">
            <xm:f>'Project Info and Instructions'!$F$20="Owner-occupied"</xm:f>
            <x14:dxf>
              <font>
                <strike/>
                <color theme="0" tint="-0.34998626667073579"/>
              </font>
              <fill>
                <patternFill>
                  <bgColor theme="0" tint="-0.14996795556505021"/>
                </patternFill>
              </fill>
            </x14:dxf>
          </x14:cfRule>
          <xm:sqref>I9</xm:sqref>
        </x14:conditionalFormatting>
        <x14:conditionalFormatting xmlns:xm="http://schemas.microsoft.com/office/excel/2006/main">
          <x14:cfRule type="expression" priority="1315" id="{6543EF57-EBCA-4C4C-AD2D-92BF7FF02678}">
            <xm:f>'Project Info and Instructions'!$M$22="Construction"</xm:f>
            <x14:dxf>
              <font>
                <strike/>
                <color theme="0" tint="-0.34998626667073579"/>
              </font>
              <fill>
                <patternFill>
                  <bgColor theme="0" tint="-0.14996795556505021"/>
                </patternFill>
              </fill>
            </x14:dxf>
          </x14:cfRule>
          <x14:cfRule type="expression" priority="1316" id="{92BDFEE5-B34E-4AE5-844C-4F3A0713E9C4}">
            <xm:f>'Project Info and Instructions'!$F$20="Owner-occupied"</xm:f>
            <x14:dxf>
              <font>
                <strike/>
                <color theme="0" tint="-0.34998626667073579"/>
              </font>
              <fill>
                <patternFill>
                  <bgColor theme="0" tint="-0.14996795556505021"/>
                </patternFill>
              </fill>
            </x14:dxf>
          </x14:cfRule>
          <x14:cfRule type="expression" priority="1317" id="{BBE84C19-ED9A-4359-898F-23ABEA1B1135}">
            <xm:f>'Project Info and Instructions'!$Q$22="No"</xm:f>
            <x14:dxf>
              <font>
                <strike/>
                <color theme="0" tint="-0.34998626667073579"/>
              </font>
              <fill>
                <patternFill>
                  <bgColor theme="0" tint="-0.14996795556505021"/>
                </patternFill>
              </fill>
            </x14:dxf>
          </x14:cfRule>
          <xm:sqref>L9</xm:sqref>
        </x14:conditionalFormatting>
        <x14:conditionalFormatting xmlns:xm="http://schemas.microsoft.com/office/excel/2006/main">
          <x14:cfRule type="expression" priority="1318" id="{25723C05-322F-4CD1-A934-60420223EE32}">
            <xm:f>'Project Info and Instructions'!$K$20="No"</xm:f>
            <x14:dxf>
              <font>
                <strike/>
                <color theme="0" tint="-0.34998626667073579"/>
              </font>
              <fill>
                <patternFill>
                  <bgColor theme="0" tint="-0.14996795556505021"/>
                </patternFill>
              </fill>
            </x14:dxf>
          </x14:cfRule>
          <x14:cfRule type="expression" priority="1319" id="{7E9B0E40-DE8A-41FF-81DA-773A5DC1587D}">
            <xm:f>'Project Info and Instructions'!$F$20="Rental"</xm:f>
            <x14:dxf>
              <font>
                <strike/>
                <color theme="0" tint="-0.34998626667073579"/>
              </font>
              <fill>
                <patternFill>
                  <bgColor theme="0" tint="-0.14996795556505021"/>
                </patternFill>
              </fill>
            </x14:dxf>
          </x14:cfRule>
          <xm:sqref>M9</xm:sqref>
        </x14:conditionalFormatting>
        <x14:conditionalFormatting xmlns:xm="http://schemas.microsoft.com/office/excel/2006/main">
          <x14:cfRule type="expression" priority="1616" id="{96A31C63-79AD-4666-AE7A-197556349267}">
            <xm:f>'Project Info and Instructions'!$V$50&gt;6</xm:f>
            <x14:dxf>
              <font>
                <strike/>
                <color theme="0" tint="-0.34998626667073579"/>
              </font>
              <fill>
                <gradientFill degree="90">
                  <stop position="0">
                    <color theme="0" tint="-0.1490218817712943"/>
                  </stop>
                  <stop position="1">
                    <color theme="0" tint="-0.1490218817712943"/>
                  </stop>
                </gradientFill>
              </fill>
            </x14:dxf>
          </x14:cfRule>
          <xm:sqref>F9</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BS232"/>
  <sheetViews>
    <sheetView showGridLines="0" zoomScale="90" zoomScaleNormal="90" workbookViewId="0">
      <pane ySplit="11" topLeftCell="A12" activePane="bottomLeft" state="frozen"/>
      <selection pane="bottomLeft" activeCell="M22" sqref="M22"/>
    </sheetView>
  </sheetViews>
  <sheetFormatPr defaultColWidth="9.140625" defaultRowHeight="11.25"/>
  <cols>
    <col min="1" max="1" width="0.5703125" style="285" customWidth="1"/>
    <col min="2" max="2" width="1.85546875" style="285" customWidth="1"/>
    <col min="3" max="3" width="10.28515625" style="285" customWidth="1"/>
    <col min="4" max="4" width="11.42578125" style="285" customWidth="1"/>
    <col min="5" max="5" width="11.140625" style="285" customWidth="1"/>
    <col min="6" max="6" width="12.28515625" style="285" customWidth="1"/>
    <col min="7" max="7" width="2.5703125" style="285" bestFit="1" customWidth="1"/>
    <col min="8" max="8" width="16.5703125" style="285" customWidth="1"/>
    <col min="9" max="9" width="14.85546875" style="285" customWidth="1"/>
    <col min="10" max="10" width="1.85546875" style="285" customWidth="1"/>
    <col min="11" max="11" width="13.28515625" style="285" customWidth="1"/>
    <col min="12" max="12" width="1.42578125" style="285" customWidth="1"/>
    <col min="13" max="13" width="13.28515625" style="285" customWidth="1"/>
    <col min="14" max="14" width="1.7109375" style="285" customWidth="1"/>
    <col min="15" max="15" width="14.42578125" style="285" customWidth="1"/>
    <col min="16" max="16" width="2.7109375" style="285" customWidth="1"/>
    <col min="17" max="17" width="9" style="285" customWidth="1"/>
    <col min="18" max="18" width="6.42578125" style="285" customWidth="1"/>
    <col min="19" max="19" width="3.5703125" style="285" customWidth="1"/>
    <col min="20" max="20" width="13.42578125" style="285" customWidth="1"/>
    <col min="21" max="21" width="2.140625" style="285" customWidth="1"/>
    <col min="22" max="22" width="13.85546875" style="285" customWidth="1"/>
    <col min="23" max="23" width="9.140625" style="286" customWidth="1"/>
    <col min="24" max="24" width="5" style="286" customWidth="1"/>
    <col min="25" max="25" width="16.140625" style="286" hidden="1" customWidth="1"/>
    <col min="26" max="26" width="11.42578125" style="286" hidden="1" customWidth="1"/>
    <col min="27" max="27" width="15.5703125" style="286" hidden="1" customWidth="1"/>
    <col min="28" max="28" width="23.42578125" style="286" hidden="1" customWidth="1"/>
    <col min="29" max="29" width="12.42578125" style="286" hidden="1" customWidth="1"/>
    <col min="30" max="30" width="17.5703125" style="286" hidden="1" customWidth="1"/>
    <col min="31" max="31" width="11.5703125" style="286" hidden="1" customWidth="1"/>
    <col min="32" max="32" width="9.140625" style="286" hidden="1" customWidth="1"/>
    <col min="33" max="35" width="9.140625" style="285" hidden="1" customWidth="1"/>
    <col min="36" max="37" width="14.7109375" style="285" hidden="1" customWidth="1"/>
    <col min="38" max="67" width="9.140625" style="285" hidden="1" customWidth="1"/>
    <col min="68" max="71" width="9.140625" style="285" customWidth="1"/>
    <col min="72" max="16384" width="9.140625" style="285"/>
  </cols>
  <sheetData>
    <row r="1" spans="2:63" ht="15" customHeight="1">
      <c r="B1" s="871"/>
      <c r="O1" s="1765" t="s">
        <v>44</v>
      </c>
      <c r="P1" s="1765"/>
      <c r="Q1" s="1765"/>
      <c r="R1" s="1765"/>
      <c r="S1" s="1765"/>
      <c r="T1" s="1765"/>
      <c r="U1" s="1765"/>
      <c r="V1" s="1765"/>
      <c r="W1" s="1765"/>
      <c r="X1" s="954"/>
      <c r="Y1" s="285"/>
      <c r="Z1" s="285"/>
      <c r="AA1" s="285"/>
      <c r="AB1" s="285"/>
      <c r="AC1" s="285"/>
      <c r="AD1" s="285"/>
      <c r="AE1" s="285"/>
      <c r="AF1" s="285"/>
    </row>
    <row r="2" spans="2:63" ht="13.5" customHeight="1">
      <c r="T2" s="1833" t="str">
        <f>'Project Info and Instructions'!O2</f>
        <v>Updated January 2018</v>
      </c>
      <c r="U2" s="1833"/>
      <c r="V2" s="1833"/>
      <c r="W2" s="1833"/>
    </row>
    <row r="3" spans="2:63" s="15" customFormat="1" ht="6.75" customHeight="1">
      <c r="V3" s="2098"/>
      <c r="W3" s="2098"/>
      <c r="AB3" s="124"/>
      <c r="AC3" s="124"/>
      <c r="AD3" s="124"/>
      <c r="AE3" s="124"/>
      <c r="AF3" s="124"/>
      <c r="AG3" s="124"/>
      <c r="AH3" s="124"/>
      <c r="AI3" s="124"/>
      <c r="AJ3" s="124"/>
      <c r="AK3" s="124"/>
      <c r="BH3" s="49"/>
      <c r="BI3" s="49"/>
      <c r="BJ3" s="49"/>
      <c r="BK3" s="49"/>
    </row>
    <row r="4" spans="2:63" s="15" customFormat="1" ht="15" customHeight="1">
      <c r="I4" s="2139" t="str">
        <f>IF('Project Info and Instructions'!W35&gt;0,"Input the project name and AHP Project Number at the top of the 'Instructions' tab.",'Project Info and Instructions'!F18&amp;" - "&amp;'Project Info and Instructions'!F16)</f>
        <v>Input the project name and AHP Project Number at the top of the 'Instructions' tab.</v>
      </c>
      <c r="J4" s="2139"/>
      <c r="K4" s="2139"/>
      <c r="L4" s="2139"/>
      <c r="M4" s="2139"/>
      <c r="N4" s="2139"/>
      <c r="O4" s="2139"/>
      <c r="P4" s="2139"/>
      <c r="Q4" s="2139"/>
      <c r="R4" s="2139"/>
      <c r="S4" s="2139"/>
      <c r="T4" s="2139"/>
      <c r="U4" s="2139"/>
      <c r="V4" s="2139"/>
      <c r="W4" s="2139"/>
      <c r="Y4" s="357"/>
      <c r="Z4" s="357"/>
      <c r="AA4" s="171"/>
      <c r="AB4" s="283"/>
      <c r="AC4" s="124"/>
      <c r="AD4" s="124"/>
      <c r="AE4" s="124"/>
      <c r="AF4" s="124"/>
      <c r="AG4" s="124"/>
      <c r="AH4" s="124"/>
      <c r="AI4" s="124"/>
      <c r="AJ4" s="124"/>
      <c r="AK4" s="124"/>
      <c r="BH4" s="49"/>
      <c r="BI4" s="49"/>
      <c r="BJ4" s="208"/>
      <c r="BK4" s="49"/>
    </row>
    <row r="5" spans="2:63" s="15" customFormat="1" ht="7.5" customHeight="1">
      <c r="C5" s="7"/>
      <c r="D5" s="7"/>
      <c r="E5" s="7"/>
      <c r="F5" s="7"/>
      <c r="G5" s="7"/>
      <c r="M5" s="359"/>
      <c r="N5" s="179"/>
      <c r="O5" s="179"/>
      <c r="P5" s="364"/>
      <c r="Q5" s="364"/>
      <c r="R5" s="179"/>
      <c r="S5" s="364"/>
      <c r="T5" s="364"/>
      <c r="X5" s="123"/>
      <c r="Y5" s="123"/>
      <c r="Z5" s="123"/>
      <c r="AB5" s="124"/>
      <c r="AC5" s="78"/>
      <c r="AD5" s="78"/>
      <c r="AE5" s="78"/>
      <c r="AF5" s="124"/>
      <c r="AG5" s="124"/>
      <c r="AH5" s="124"/>
      <c r="AI5" s="124"/>
      <c r="AJ5" s="124"/>
      <c r="AK5" s="78"/>
      <c r="AL5" s="7"/>
      <c r="AM5" s="7"/>
      <c r="AN5" s="7"/>
      <c r="AO5" s="13"/>
      <c r="AP5" s="7"/>
      <c r="AQ5" s="7"/>
      <c r="BH5" s="49"/>
      <c r="BI5" s="208"/>
      <c r="BJ5" s="208"/>
      <c r="BK5" s="49"/>
    </row>
    <row r="6" spans="2:63" s="15" customFormat="1" ht="30.75" customHeight="1">
      <c r="C6" s="1178"/>
      <c r="D6" s="1178"/>
      <c r="E6" s="1178"/>
      <c r="F6" s="1178"/>
      <c r="G6" s="1178"/>
      <c r="H6" s="1178"/>
      <c r="I6" s="1178"/>
      <c r="J6" s="1178"/>
      <c r="K6" s="1178"/>
      <c r="L6" s="1178"/>
      <c r="M6" s="1178"/>
      <c r="N6" s="1178"/>
      <c r="O6" s="1178"/>
      <c r="P6" s="7"/>
      <c r="Q6" s="7"/>
      <c r="X6" s="411"/>
      <c r="Y6" s="411"/>
      <c r="Z6" s="411"/>
      <c r="AB6" s="1296"/>
      <c r="AC6" s="1297"/>
      <c r="AD6" s="1297"/>
      <c r="AE6" s="1298"/>
      <c r="AF6" s="124"/>
      <c r="AG6" s="124"/>
      <c r="AH6" s="124"/>
      <c r="AI6" s="124"/>
      <c r="AJ6" s="124"/>
      <c r="AK6" s="124"/>
      <c r="AO6" s="217"/>
      <c r="AZ6" s="7"/>
      <c r="BH6" s="49"/>
      <c r="BI6" s="152"/>
      <c r="BJ6" s="152"/>
      <c r="BK6" s="49"/>
    </row>
    <row r="7" spans="2:63" s="15" customFormat="1" ht="7.5" customHeight="1">
      <c r="P7" s="147"/>
      <c r="Q7" s="147"/>
      <c r="R7" s="147"/>
      <c r="S7" s="147"/>
      <c r="T7" s="147"/>
      <c r="U7" s="147"/>
      <c r="V7" s="147"/>
      <c r="W7" s="147"/>
      <c r="X7" s="147"/>
      <c r="Y7" s="147"/>
      <c r="Z7" s="147"/>
      <c r="AB7" s="124"/>
      <c r="AC7" s="78"/>
      <c r="AD7" s="78"/>
      <c r="AE7" s="78"/>
      <c r="AF7" s="124"/>
      <c r="AG7" s="124"/>
      <c r="AH7" s="124"/>
      <c r="AI7" s="124"/>
      <c r="AJ7" s="124"/>
      <c r="AK7" s="124"/>
      <c r="AO7" s="217"/>
      <c r="AZ7" s="7"/>
    </row>
    <row r="8" spans="2:63" s="15" customFormat="1" ht="3.75" customHeight="1">
      <c r="B8" s="75"/>
      <c r="C8" s="284"/>
      <c r="D8" s="284"/>
      <c r="E8" s="284"/>
      <c r="F8" s="7"/>
      <c r="G8" s="7"/>
      <c r="H8" s="7"/>
      <c r="I8" s="7"/>
      <c r="J8" s="7"/>
      <c r="K8" s="1792" t="s">
        <v>836</v>
      </c>
      <c r="L8" s="1793"/>
      <c r="M8" s="7"/>
      <c r="N8" s="7"/>
      <c r="S8" s="7"/>
      <c r="T8" s="7"/>
      <c r="U8" s="147"/>
      <c r="V8" s="147"/>
      <c r="W8" s="147"/>
      <c r="X8" s="147"/>
      <c r="Y8" s="148"/>
      <c r="Z8" s="148"/>
      <c r="AB8" s="124"/>
      <c r="AC8" s="78"/>
      <c r="AD8" s="78"/>
      <c r="AE8" s="78"/>
      <c r="AF8" s="124"/>
      <c r="AG8" s="124"/>
      <c r="AH8" s="124"/>
      <c r="AI8" s="124"/>
      <c r="AJ8" s="124"/>
      <c r="AK8" s="124"/>
      <c r="AO8" s="217"/>
      <c r="AZ8" s="7"/>
    </row>
    <row r="9" spans="2:63" s="15" customFormat="1" ht="36.75" customHeight="1">
      <c r="B9" s="1824" t="s">
        <v>937</v>
      </c>
      <c r="C9" s="1824"/>
      <c r="D9" s="1301" t="s">
        <v>838</v>
      </c>
      <c r="E9" s="1301" t="s">
        <v>832</v>
      </c>
      <c r="F9" s="1773" t="s">
        <v>833</v>
      </c>
      <c r="G9" s="1824"/>
      <c r="H9" s="1301" t="s">
        <v>852</v>
      </c>
      <c r="I9" s="1773" t="s">
        <v>834</v>
      </c>
      <c r="J9" s="1824"/>
      <c r="K9" s="1794"/>
      <c r="L9" s="1795"/>
      <c r="M9" s="2097" t="s">
        <v>1171</v>
      </c>
      <c r="N9" s="1824"/>
      <c r="O9" s="1773" t="s">
        <v>853</v>
      </c>
      <c r="P9" s="1774"/>
      <c r="Q9" s="1773" t="s">
        <v>855</v>
      </c>
      <c r="R9" s="1824"/>
      <c r="U9" s="147"/>
      <c r="V9" s="147"/>
      <c r="W9" s="147"/>
      <c r="X9" s="147"/>
      <c r="Y9" s="151"/>
      <c r="Z9" s="151"/>
      <c r="AA9" s="7"/>
      <c r="AB9" s="124"/>
      <c r="AC9" s="124"/>
      <c r="AD9" s="124"/>
      <c r="AE9" s="124"/>
      <c r="AF9" s="124"/>
      <c r="AG9" s="124"/>
      <c r="AH9" s="124"/>
      <c r="AI9" s="124"/>
      <c r="AJ9" s="124"/>
      <c r="AK9" s="124"/>
      <c r="AO9" s="217"/>
      <c r="AZ9" s="7"/>
    </row>
    <row r="10" spans="2:63" s="15" customFormat="1" ht="3" customHeight="1">
      <c r="C10" s="135"/>
      <c r="D10" s="135"/>
      <c r="E10" s="658"/>
      <c r="F10" s="574"/>
      <c r="G10" s="574"/>
      <c r="H10" s="574"/>
      <c r="I10" s="574"/>
      <c r="J10" s="574"/>
      <c r="K10" s="1794"/>
      <c r="L10" s="1795"/>
      <c r="M10" s="575"/>
      <c r="N10" s="575"/>
      <c r="O10" s="575"/>
      <c r="P10" s="575"/>
      <c r="Q10" s="575"/>
      <c r="R10" s="575"/>
      <c r="S10" s="575"/>
      <c r="T10" s="575"/>
      <c r="U10" s="575"/>
      <c r="V10" s="575"/>
      <c r="W10" s="147"/>
      <c r="X10" s="1384"/>
      <c r="Y10" s="152"/>
      <c r="Z10" s="152"/>
      <c r="AA10" s="7"/>
      <c r="AB10" s="124"/>
      <c r="AC10" s="78"/>
      <c r="AD10" s="78"/>
      <c r="AE10" s="78"/>
      <c r="AF10" s="124"/>
      <c r="AG10" s="124"/>
      <c r="AH10" s="124"/>
      <c r="AI10" s="124"/>
      <c r="AJ10" s="124"/>
      <c r="AK10" s="124"/>
      <c r="AO10" s="217"/>
      <c r="AZ10" s="7"/>
    </row>
    <row r="11" spans="2:63">
      <c r="V11" s="373"/>
      <c r="W11" s="373"/>
      <c r="X11" s="287"/>
      <c r="Y11" s="366"/>
      <c r="Z11" s="366"/>
      <c r="AA11" s="366"/>
      <c r="AG11" s="286"/>
      <c r="AH11" s="286"/>
      <c r="AI11" s="286"/>
      <c r="AJ11" s="286"/>
      <c r="AK11" s="286"/>
      <c r="AO11" s="287"/>
    </row>
    <row r="12" spans="2:63" ht="18.75">
      <c r="B12" s="2061" t="s">
        <v>1119</v>
      </c>
      <c r="C12" s="2061"/>
      <c r="D12" s="2061"/>
      <c r="E12" s="2061"/>
      <c r="F12" s="2061"/>
      <c r="G12" s="2061"/>
      <c r="H12" s="2061"/>
      <c r="I12" s="2061"/>
      <c r="J12" s="2061"/>
      <c r="K12" s="2061"/>
      <c r="L12" s="2061"/>
      <c r="M12" s="2061"/>
      <c r="N12" s="2061"/>
      <c r="O12" s="2061"/>
      <c r="P12" s="2061"/>
      <c r="Q12" s="2061"/>
      <c r="R12" s="2061"/>
      <c r="S12" s="2061"/>
      <c r="T12" s="2061"/>
      <c r="U12" s="2061"/>
      <c r="V12" s="410"/>
      <c r="W12" s="410"/>
      <c r="X12" s="410"/>
      <c r="Y12" s="367"/>
      <c r="Z12" s="367"/>
      <c r="AA12" s="366"/>
      <c r="AG12" s="286"/>
      <c r="AH12" s="286"/>
      <c r="AI12" s="286"/>
      <c r="AJ12" s="286"/>
      <c r="AK12" s="286"/>
      <c r="AO12" s="288"/>
    </row>
    <row r="13" spans="2:63" s="333" customFormat="1" ht="13.5" customHeight="1">
      <c r="B13" s="2062" t="s">
        <v>126</v>
      </c>
      <c r="C13" s="2063"/>
      <c r="D13" s="2063"/>
      <c r="E13" s="2063"/>
      <c r="F13" s="2063"/>
      <c r="G13" s="2063" t="s">
        <v>127</v>
      </c>
      <c r="H13" s="2063"/>
      <c r="I13" s="2063"/>
      <c r="J13" s="2063"/>
      <c r="K13" s="2063"/>
      <c r="L13" s="2063"/>
      <c r="M13" s="2063"/>
      <c r="N13" s="2063"/>
      <c r="O13" s="1584" t="s">
        <v>785</v>
      </c>
      <c r="P13" s="813"/>
      <c r="Q13" s="813"/>
      <c r="R13" s="813"/>
      <c r="S13" s="813"/>
      <c r="T13" s="813"/>
      <c r="U13" s="813"/>
      <c r="V13" s="813"/>
      <c r="W13" s="813"/>
      <c r="X13" s="814"/>
      <c r="Y13" s="814"/>
      <c r="Z13" s="814"/>
      <c r="AA13" s="815"/>
      <c r="AB13" s="332"/>
      <c r="AC13" s="332">
        <f>COUNTIF(L92,"Select a State…")</f>
        <v>0</v>
      </c>
      <c r="AD13" s="332"/>
      <c r="AE13" s="332"/>
      <c r="AF13" s="332"/>
      <c r="AG13" s="332"/>
      <c r="AH13" s="332"/>
      <c r="AI13" s="332"/>
      <c r="AJ13" s="332"/>
      <c r="AK13" s="332"/>
      <c r="AO13" s="71"/>
    </row>
    <row r="14" spans="2:63" ht="4.5" customHeight="1">
      <c r="B14" s="2064" t="s">
        <v>128</v>
      </c>
      <c r="C14" s="2065"/>
      <c r="D14" s="2065"/>
      <c r="E14" s="2065"/>
      <c r="F14" s="2066"/>
      <c r="G14" s="383"/>
      <c r="H14" s="290"/>
      <c r="I14" s="290"/>
      <c r="J14" s="290"/>
      <c r="K14" s="290"/>
      <c r="L14" s="290"/>
      <c r="M14" s="290"/>
      <c r="N14" s="384"/>
      <c r="O14" s="2073" t="str">
        <f>IF(M15+M17=0,"",IF(M15=M17,"OK","Failed"))</f>
        <v/>
      </c>
      <c r="P14" s="313"/>
      <c r="Q14" s="313"/>
      <c r="R14" s="313"/>
      <c r="S14" s="313"/>
      <c r="T14" s="313"/>
      <c r="U14" s="313"/>
      <c r="V14" s="313"/>
      <c r="W14" s="313"/>
      <c r="X14" s="413"/>
      <c r="Y14" s="413"/>
      <c r="Z14" s="413"/>
      <c r="AA14" s="366"/>
      <c r="AB14" s="291"/>
      <c r="AC14" s="292" t="s">
        <v>846</v>
      </c>
      <c r="AD14" s="292" t="s">
        <v>847</v>
      </c>
      <c r="AG14" s="286"/>
      <c r="AH14" s="286"/>
      <c r="AI14" s="286"/>
      <c r="AJ14" s="286"/>
      <c r="AK14" s="286"/>
      <c r="AO14" s="71"/>
    </row>
    <row r="15" spans="2:63" ht="14.25" customHeight="1">
      <c r="B15" s="2064"/>
      <c r="C15" s="2065"/>
      <c r="D15" s="2065"/>
      <c r="E15" s="2065"/>
      <c r="F15" s="2066"/>
      <c r="G15" s="385"/>
      <c r="H15" s="294"/>
      <c r="I15" s="2100" t="s">
        <v>915</v>
      </c>
      <c r="J15" s="2100"/>
      <c r="K15" s="2100"/>
      <c r="L15" s="2100"/>
      <c r="M15" s="965">
        <f>'A(1)-Sources Stmt.'!F50</f>
        <v>0</v>
      </c>
      <c r="N15" s="386"/>
      <c r="O15" s="2074"/>
      <c r="P15" s="313"/>
      <c r="Q15" s="313"/>
      <c r="R15" s="313"/>
      <c r="S15" s="313"/>
      <c r="T15" s="313"/>
      <c r="U15" s="313"/>
      <c r="V15" s="313"/>
      <c r="W15" s="313"/>
      <c r="X15" s="413"/>
      <c r="Y15" s="413"/>
      <c r="Z15" s="413"/>
      <c r="AA15" s="366"/>
      <c r="AC15" s="292">
        <f>IF(P14="",1,0)</f>
        <v>1</v>
      </c>
      <c r="AD15" s="286">
        <f>IF(M15&lt;&gt;M17,1,0)</f>
        <v>0</v>
      </c>
      <c r="AG15" s="286"/>
      <c r="AH15" s="286"/>
      <c r="AI15" s="286"/>
      <c r="AJ15" s="286"/>
      <c r="AK15" s="286"/>
      <c r="AO15" s="74"/>
    </row>
    <row r="16" spans="2:63" ht="5.25" customHeight="1">
      <c r="B16" s="2064"/>
      <c r="C16" s="2065"/>
      <c r="D16" s="2065"/>
      <c r="E16" s="2065"/>
      <c r="F16" s="2066"/>
      <c r="G16" s="385"/>
      <c r="H16" s="294"/>
      <c r="I16" s="294"/>
      <c r="J16" s="295"/>
      <c r="K16" s="1131"/>
      <c r="L16" s="296"/>
      <c r="M16" s="297"/>
      <c r="N16" s="387"/>
      <c r="O16" s="2074"/>
      <c r="P16" s="313"/>
      <c r="Q16" s="313"/>
      <c r="R16" s="313"/>
      <c r="S16" s="313"/>
      <c r="T16" s="313"/>
      <c r="U16" s="313"/>
      <c r="V16" s="313"/>
      <c r="W16" s="313"/>
      <c r="X16" s="413"/>
      <c r="Y16" s="413"/>
      <c r="Z16" s="413"/>
      <c r="AA16" s="366"/>
      <c r="AG16" s="286"/>
      <c r="AH16" s="286"/>
      <c r="AI16" s="286"/>
      <c r="AJ16" s="286"/>
      <c r="AK16" s="286"/>
      <c r="AO16" s="71"/>
    </row>
    <row r="17" spans="2:44" ht="14.25" customHeight="1">
      <c r="B17" s="2064"/>
      <c r="C17" s="2065"/>
      <c r="D17" s="2065"/>
      <c r="E17" s="2065"/>
      <c r="F17" s="2066"/>
      <c r="G17" s="385"/>
      <c r="H17" s="2076" t="s">
        <v>916</v>
      </c>
      <c r="I17" s="2076"/>
      <c r="J17" s="2076"/>
      <c r="K17" s="2076"/>
      <c r="L17" s="2076"/>
      <c r="M17" s="965">
        <f>'A(2)-Uses Statement'!M81</f>
        <v>0</v>
      </c>
      <c r="N17" s="386"/>
      <c r="O17" s="2074"/>
      <c r="P17" s="313"/>
      <c r="Q17" s="313"/>
      <c r="R17" s="313"/>
      <c r="S17" s="313"/>
      <c r="T17" s="313"/>
      <c r="U17" s="313"/>
      <c r="V17" s="313"/>
      <c r="W17" s="313"/>
      <c r="X17" s="413"/>
      <c r="Y17" s="413"/>
      <c r="Z17" s="413"/>
      <c r="AA17" s="526" t="s">
        <v>114</v>
      </c>
      <c r="AG17" s="286"/>
      <c r="AH17" s="292" t="s">
        <v>840</v>
      </c>
      <c r="AI17" s="292" t="s">
        <v>795</v>
      </c>
      <c r="AJ17" s="286"/>
      <c r="AK17" s="286"/>
      <c r="AO17" s="71"/>
    </row>
    <row r="18" spans="2:44" ht="4.5" customHeight="1">
      <c r="B18" s="2067"/>
      <c r="C18" s="2068"/>
      <c r="D18" s="2068"/>
      <c r="E18" s="2068"/>
      <c r="F18" s="2069"/>
      <c r="G18" s="388"/>
      <c r="H18" s="389"/>
      <c r="I18" s="389"/>
      <c r="J18" s="389"/>
      <c r="K18" s="389"/>
      <c r="L18" s="389"/>
      <c r="M18" s="389"/>
      <c r="N18" s="390"/>
      <c r="O18" s="2075"/>
      <c r="P18" s="313"/>
      <c r="Q18" s="313"/>
      <c r="R18" s="313"/>
      <c r="S18" s="313"/>
      <c r="T18" s="313"/>
      <c r="U18" s="313"/>
      <c r="V18" s="313"/>
      <c r="W18" s="313"/>
      <c r="X18" s="413"/>
      <c r="Y18" s="413"/>
      <c r="Z18" s="413"/>
      <c r="AA18" s="526" t="s">
        <v>115</v>
      </c>
      <c r="AG18" s="286"/>
      <c r="AH18" s="286"/>
      <c r="AI18" s="286"/>
      <c r="AJ18" s="286"/>
      <c r="AK18" s="286"/>
      <c r="AO18" s="71"/>
    </row>
    <row r="19" spans="2:44" s="15" customFormat="1" ht="4.5" customHeight="1">
      <c r="B19" s="243"/>
      <c r="C19" s="243"/>
      <c r="D19" s="243"/>
      <c r="E19" s="243"/>
      <c r="F19" s="243"/>
      <c r="G19" s="243"/>
      <c r="H19" s="243"/>
      <c r="I19" s="243"/>
      <c r="J19" s="243"/>
      <c r="K19" s="243"/>
      <c r="L19" s="243"/>
      <c r="M19" s="243"/>
      <c r="N19" s="243"/>
      <c r="O19" s="243"/>
      <c r="P19" s="436"/>
      <c r="Q19" s="436"/>
      <c r="R19" s="436"/>
      <c r="S19" s="436"/>
      <c r="T19" s="436"/>
      <c r="U19" s="436"/>
      <c r="V19" s="436"/>
      <c r="W19" s="436"/>
      <c r="X19" s="243"/>
      <c r="Y19" s="368"/>
      <c r="Z19" s="368"/>
      <c r="AA19" s="7"/>
    </row>
    <row r="20" spans="2:44" ht="7.5" customHeight="1">
      <c r="B20" s="2089" t="s">
        <v>913</v>
      </c>
      <c r="C20" s="2090"/>
      <c r="D20" s="2090"/>
      <c r="E20" s="2090"/>
      <c r="F20" s="2091"/>
      <c r="G20" s="520"/>
      <c r="H20" s="1166"/>
      <c r="I20" s="1166"/>
      <c r="J20" s="1166"/>
      <c r="K20" s="1166"/>
      <c r="L20" s="1166"/>
      <c r="M20" s="521"/>
      <c r="N20" s="521"/>
      <c r="O20" s="2070" t="str">
        <f>IF(M22="Yes","OK",IF(M22="No","Failed",""))</f>
        <v/>
      </c>
      <c r="P20" s="313"/>
      <c r="Q20" s="313"/>
      <c r="R20" s="313"/>
      <c r="S20" s="313"/>
      <c r="T20" s="313"/>
      <c r="U20" s="313"/>
      <c r="V20" s="313"/>
      <c r="W20" s="313"/>
      <c r="X20" s="429"/>
      <c r="Y20" s="429"/>
      <c r="Z20" s="429"/>
      <c r="AA20" s="366"/>
      <c r="AE20" s="286">
        <f>IF(AF20&gt;0,RANK(AF20,$AF$20:$AF$34),0)</f>
        <v>0</v>
      </c>
      <c r="AF20" s="614">
        <f>IF(AJ20&gt;0,SUMPRODUCT(--(AG20&gt;$AG$20:$AG$35)),0)</f>
        <v>0</v>
      </c>
      <c r="AG20" s="107" t="str">
        <f>IF('A(1)-Sources Stmt.'!D35&lt;&gt;"",'A(1)-Sources Stmt.'!D35,"")</f>
        <v/>
      </c>
      <c r="AH20" s="611">
        <f>'A(1)-Sources Stmt.'!D35</f>
        <v>0</v>
      </c>
      <c r="AI20" s="612">
        <f>IF('A(1)-Sources Stmt.'!O35&gt;0,'A(1)-Sources Stmt.'!F35,0)</f>
        <v>0</v>
      </c>
      <c r="AJ20" s="611">
        <f t="shared" ref="AJ20:AJ25" si="0">IF(AND(AH20&lt;&gt;0,AI20&gt;0),1,0)</f>
        <v>0</v>
      </c>
      <c r="AK20" s="613" t="str">
        <f>IF(AJ20&gt;0,COUNTIF($K$34:$N$43,AH20),"")</f>
        <v/>
      </c>
      <c r="AM20" s="627">
        <f>'A(1)-Sources Stmt.'!F35</f>
        <v>0</v>
      </c>
      <c r="AN20" s="628">
        <f>'A(1)-Sources Stmt.'!O35</f>
        <v>0</v>
      </c>
      <c r="AO20" s="626">
        <f>AM20*AN20</f>
        <v>0</v>
      </c>
      <c r="AR20" s="285">
        <f>SUMPRODUCT(--(AG20&gt;$AG$20:$AG$35))</f>
        <v>0</v>
      </c>
    </row>
    <row r="21" spans="2:44" ht="4.5" customHeight="1">
      <c r="B21" s="2064"/>
      <c r="C21" s="2065"/>
      <c r="D21" s="2065"/>
      <c r="E21" s="2065"/>
      <c r="F21" s="2066"/>
      <c r="G21" s="522"/>
      <c r="H21" s="1167"/>
      <c r="I21" s="1167"/>
      <c r="J21" s="1167"/>
      <c r="K21" s="1167"/>
      <c r="L21" s="1167"/>
      <c r="M21" s="523"/>
      <c r="N21" s="523"/>
      <c r="O21" s="2071"/>
      <c r="P21" s="313"/>
      <c r="Q21" s="313"/>
      <c r="R21" s="313"/>
      <c r="S21" s="313"/>
      <c r="T21" s="313"/>
      <c r="U21" s="313"/>
      <c r="V21" s="313"/>
      <c r="W21" s="313"/>
      <c r="X21" s="429"/>
      <c r="Y21" s="429"/>
      <c r="Z21" s="429"/>
      <c r="AA21" s="366"/>
      <c r="AC21" s="292">
        <f>IF(P20="",1,0)</f>
        <v>1</v>
      </c>
      <c r="AE21" s="286">
        <f t="shared" ref="AE21:AE34" si="1">IF(AF21&gt;0,RANK(AF21,$AF$20:$AF$34),0)</f>
        <v>0</v>
      </c>
      <c r="AF21" s="614">
        <f t="shared" ref="AF21:AF35" si="2">IF(AJ21&gt;0,SUMPRODUCT(--(AG21&gt;$AG$20:$AG$35)),0)</f>
        <v>0</v>
      </c>
      <c r="AG21" s="107" t="str">
        <f>IF('A(1)-Sources Stmt.'!D36&lt;&gt;"",'A(1)-Sources Stmt.'!D36,"")</f>
        <v/>
      </c>
      <c r="AH21" s="611">
        <f>'A(1)-Sources Stmt.'!D36</f>
        <v>0</v>
      </c>
      <c r="AI21" s="612">
        <f>IF('A(1)-Sources Stmt.'!O36&gt;0,'A(1)-Sources Stmt.'!F36,0)</f>
        <v>0</v>
      </c>
      <c r="AJ21" s="611">
        <f t="shared" si="0"/>
        <v>0</v>
      </c>
      <c r="AK21" s="286" t="str">
        <f>IF(AJ21&gt;0,COUNTIF($K$34:$N$43,AH21),"")</f>
        <v/>
      </c>
      <c r="AM21" s="627">
        <f>'A(1)-Sources Stmt.'!F36</f>
        <v>0</v>
      </c>
      <c r="AN21" s="628">
        <f>'A(1)-Sources Stmt.'!O36</f>
        <v>0</v>
      </c>
      <c r="AO21" s="626">
        <f t="shared" ref="AO21:AO34" si="3">AM21*AN21</f>
        <v>0</v>
      </c>
      <c r="AR21" s="285">
        <f t="shared" ref="AR21:AR34" si="4">SUMPRODUCT(--(AG21&gt;$AG$20:$AG$35))</f>
        <v>0</v>
      </c>
    </row>
    <row r="22" spans="2:44" ht="14.25" customHeight="1">
      <c r="B22" s="2064"/>
      <c r="C22" s="2065"/>
      <c r="D22" s="2065"/>
      <c r="E22" s="2065"/>
      <c r="F22" s="2066"/>
      <c r="G22" s="522"/>
      <c r="H22" s="2140" t="s">
        <v>914</v>
      </c>
      <c r="I22" s="2140"/>
      <c r="J22" s="2140"/>
      <c r="K22" s="2140"/>
      <c r="L22" s="2141"/>
      <c r="M22" s="973"/>
      <c r="N22" s="523"/>
      <c r="O22" s="2071"/>
      <c r="P22" s="313"/>
      <c r="Q22" s="313"/>
      <c r="R22" s="313"/>
      <c r="S22" s="313"/>
      <c r="T22" s="313"/>
      <c r="U22" s="313"/>
      <c r="V22" s="313"/>
      <c r="W22" s="313"/>
      <c r="X22" s="429"/>
      <c r="Y22" s="429"/>
      <c r="Z22" s="429"/>
      <c r="AE22" s="286">
        <f t="shared" si="1"/>
        <v>0</v>
      </c>
      <c r="AF22" s="614">
        <f t="shared" si="2"/>
        <v>0</v>
      </c>
      <c r="AG22" s="107" t="str">
        <f>IF('A(1)-Sources Stmt.'!D37&lt;&gt;"",'A(1)-Sources Stmt.'!D37,"")</f>
        <v/>
      </c>
      <c r="AH22" s="611">
        <f>'A(1)-Sources Stmt.'!D37</f>
        <v>0</v>
      </c>
      <c r="AI22" s="612">
        <f>IF('A(1)-Sources Stmt.'!O37&gt;0,'A(1)-Sources Stmt.'!F37,0)</f>
        <v>0</v>
      </c>
      <c r="AJ22" s="611">
        <f t="shared" si="0"/>
        <v>0</v>
      </c>
      <c r="AK22" s="286"/>
      <c r="AM22" s="627">
        <f>'A(1)-Sources Stmt.'!F37</f>
        <v>0</v>
      </c>
      <c r="AN22" s="628">
        <f>'A(1)-Sources Stmt.'!O37</f>
        <v>0</v>
      </c>
      <c r="AO22" s="626">
        <f t="shared" si="3"/>
        <v>0</v>
      </c>
      <c r="AR22" s="285">
        <f t="shared" si="4"/>
        <v>0</v>
      </c>
    </row>
    <row r="23" spans="2:44" ht="4.5" customHeight="1">
      <c r="B23" s="2064"/>
      <c r="C23" s="2065"/>
      <c r="D23" s="2065"/>
      <c r="E23" s="2065"/>
      <c r="F23" s="2066"/>
      <c r="G23" s="522"/>
      <c r="H23" s="1167"/>
      <c r="I23" s="1167"/>
      <c r="J23" s="1167"/>
      <c r="K23" s="1167"/>
      <c r="L23" s="1167"/>
      <c r="M23" s="523"/>
      <c r="N23" s="523"/>
      <c r="O23" s="2071"/>
      <c r="P23" s="313"/>
      <c r="Q23" s="313"/>
      <c r="R23" s="313"/>
      <c r="S23" s="313"/>
      <c r="T23" s="313"/>
      <c r="U23" s="313"/>
      <c r="V23" s="313"/>
      <c r="W23" s="313"/>
      <c r="X23" s="429"/>
      <c r="Y23" s="429"/>
      <c r="Z23" s="429"/>
      <c r="AE23" s="286">
        <f t="shared" si="1"/>
        <v>0</v>
      </c>
      <c r="AF23" s="614">
        <f t="shared" si="2"/>
        <v>0</v>
      </c>
      <c r="AG23" s="107" t="str">
        <f>IF('A(1)-Sources Stmt.'!D38&lt;&gt;"",'A(1)-Sources Stmt.'!D38,"")</f>
        <v/>
      </c>
      <c r="AH23" s="611">
        <f>'A(1)-Sources Stmt.'!D38</f>
        <v>0</v>
      </c>
      <c r="AI23" s="612">
        <f>IF('A(1)-Sources Stmt.'!O38&gt;0,'A(1)-Sources Stmt.'!F38,0)</f>
        <v>0</v>
      </c>
      <c r="AJ23" s="611">
        <f t="shared" si="0"/>
        <v>0</v>
      </c>
      <c r="AK23" s="286" t="str">
        <f t="shared" ref="AK23:AK34" si="5">IF(AJ23&gt;0,COUNTIF($K$34:$N$43,AH23),"")</f>
        <v/>
      </c>
      <c r="AM23" s="627">
        <f>'A(1)-Sources Stmt.'!F38</f>
        <v>0</v>
      </c>
      <c r="AN23" s="628">
        <f>'A(1)-Sources Stmt.'!O38</f>
        <v>0</v>
      </c>
      <c r="AO23" s="626">
        <f t="shared" si="3"/>
        <v>0</v>
      </c>
      <c r="AR23" s="285">
        <f t="shared" si="4"/>
        <v>0</v>
      </c>
    </row>
    <row r="24" spans="2:44" ht="4.5" customHeight="1">
      <c r="B24" s="2064"/>
      <c r="C24" s="2065"/>
      <c r="D24" s="2065"/>
      <c r="E24" s="2065"/>
      <c r="F24" s="2066"/>
      <c r="G24" s="522"/>
      <c r="H24" s="1167"/>
      <c r="I24" s="1167"/>
      <c r="J24" s="1167"/>
      <c r="K24" s="1167"/>
      <c r="L24" s="1167"/>
      <c r="M24" s="523"/>
      <c r="N24" s="523"/>
      <c r="O24" s="2071"/>
      <c r="P24" s="313"/>
      <c r="Q24" s="313"/>
      <c r="R24" s="313"/>
      <c r="S24" s="313"/>
      <c r="T24" s="313"/>
      <c r="U24" s="313"/>
      <c r="V24" s="313"/>
      <c r="W24" s="313"/>
      <c r="X24" s="429"/>
      <c r="Y24" s="429"/>
      <c r="Z24" s="429"/>
      <c r="AA24" s="366"/>
      <c r="AE24" s="286">
        <f t="shared" si="1"/>
        <v>0</v>
      </c>
      <c r="AF24" s="614">
        <f t="shared" si="2"/>
        <v>0</v>
      </c>
      <c r="AG24" s="107" t="str">
        <f>IF('A(1)-Sources Stmt.'!D39&lt;&gt;"",'A(1)-Sources Stmt.'!D39,"")</f>
        <v/>
      </c>
      <c r="AH24" s="611">
        <f>'A(1)-Sources Stmt.'!D39</f>
        <v>0</v>
      </c>
      <c r="AI24" s="612">
        <f>IF('A(1)-Sources Stmt.'!O39&gt;0,'A(1)-Sources Stmt.'!F39,0)</f>
        <v>0</v>
      </c>
      <c r="AJ24" s="611">
        <f t="shared" si="0"/>
        <v>0</v>
      </c>
      <c r="AK24" s="286" t="str">
        <f t="shared" si="5"/>
        <v/>
      </c>
      <c r="AM24" s="627">
        <f>'A(1)-Sources Stmt.'!F39</f>
        <v>0</v>
      </c>
      <c r="AN24" s="628">
        <f>'A(1)-Sources Stmt.'!O39</f>
        <v>0</v>
      </c>
      <c r="AO24" s="626">
        <f t="shared" si="3"/>
        <v>0</v>
      </c>
      <c r="AR24" s="285">
        <f t="shared" si="4"/>
        <v>0</v>
      </c>
    </row>
    <row r="25" spans="2:44" ht="4.5" customHeight="1">
      <c r="B25" s="2067"/>
      <c r="C25" s="2068"/>
      <c r="D25" s="2068"/>
      <c r="E25" s="2068"/>
      <c r="F25" s="2069"/>
      <c r="G25" s="524"/>
      <c r="H25" s="1168"/>
      <c r="I25" s="1168"/>
      <c r="J25" s="1168"/>
      <c r="K25" s="1168"/>
      <c r="L25" s="1168"/>
      <c r="M25" s="525"/>
      <c r="N25" s="525"/>
      <c r="O25" s="2072"/>
      <c r="P25" s="313"/>
      <c r="Q25" s="313"/>
      <c r="R25" s="313"/>
      <c r="S25" s="313"/>
      <c r="T25" s="313"/>
      <c r="U25" s="313"/>
      <c r="V25" s="313"/>
      <c r="W25" s="313"/>
      <c r="X25" s="429"/>
      <c r="Y25" s="429"/>
      <c r="Z25" s="429"/>
      <c r="AA25" s="366"/>
      <c r="AE25" s="286">
        <f t="shared" si="1"/>
        <v>0</v>
      </c>
      <c r="AF25" s="614">
        <f t="shared" si="2"/>
        <v>0</v>
      </c>
      <c r="AG25" s="107" t="str">
        <f>IF('A(1)-Sources Stmt.'!D40&lt;&gt;"",'A(1)-Sources Stmt.'!D40,"")</f>
        <v/>
      </c>
      <c r="AH25" s="611">
        <f>'A(1)-Sources Stmt.'!D40</f>
        <v>0</v>
      </c>
      <c r="AI25" s="612">
        <f>IF('A(1)-Sources Stmt.'!O40&gt;0,'A(1)-Sources Stmt.'!F40,0)</f>
        <v>0</v>
      </c>
      <c r="AJ25" s="611">
        <f t="shared" si="0"/>
        <v>0</v>
      </c>
      <c r="AK25" s="286" t="str">
        <f t="shared" si="5"/>
        <v/>
      </c>
      <c r="AM25" s="627">
        <f>'A(1)-Sources Stmt.'!F40</f>
        <v>0</v>
      </c>
      <c r="AN25" s="628">
        <f>'A(1)-Sources Stmt.'!O40</f>
        <v>0</v>
      </c>
      <c r="AO25" s="626">
        <f t="shared" si="3"/>
        <v>0</v>
      </c>
      <c r="AR25" s="285">
        <f t="shared" si="4"/>
        <v>0</v>
      </c>
    </row>
    <row r="26" spans="2:44" s="15" customFormat="1" ht="4.5" customHeight="1">
      <c r="B26" s="243"/>
      <c r="C26" s="243"/>
      <c r="D26" s="243"/>
      <c r="E26" s="243"/>
      <c r="F26" s="243"/>
      <c r="G26" s="243"/>
      <c r="H26" s="243"/>
      <c r="I26" s="243"/>
      <c r="J26" s="243"/>
      <c r="K26" s="243"/>
      <c r="L26" s="243"/>
      <c r="M26" s="243"/>
      <c r="N26" s="243"/>
      <c r="O26" s="243"/>
      <c r="P26" s="436"/>
      <c r="Q26" s="436"/>
      <c r="R26" s="436"/>
      <c r="S26" s="436"/>
      <c r="T26" s="436"/>
      <c r="U26" s="436"/>
      <c r="V26" s="436"/>
      <c r="W26" s="436"/>
      <c r="X26" s="243"/>
      <c r="Y26" s="368"/>
      <c r="Z26" s="368"/>
      <c r="AA26" s="7"/>
      <c r="AE26" s="286">
        <f t="shared" si="1"/>
        <v>0</v>
      </c>
      <c r="AF26" s="614">
        <f t="shared" si="2"/>
        <v>0</v>
      </c>
      <c r="AG26" s="107" t="str">
        <f>IF('A(1)-Sources Stmt.'!D41&lt;&gt;"",'A(1)-Sources Stmt.'!D41,"")</f>
        <v/>
      </c>
      <c r="AH26" s="611">
        <f>'A(1)-Sources Stmt.'!D41</f>
        <v>0</v>
      </c>
      <c r="AI26" s="612">
        <f>IF('A(1)-Sources Stmt.'!O41&gt;0,'A(1)-Sources Stmt.'!F41,0)</f>
        <v>0</v>
      </c>
      <c r="AJ26" s="611">
        <f t="shared" ref="AJ26:AJ34" si="6">IF(AND(AH26&lt;&gt;0,AI26&gt;0),1,0)</f>
        <v>0</v>
      </c>
      <c r="AK26" s="286" t="str">
        <f t="shared" si="5"/>
        <v/>
      </c>
      <c r="AM26" s="627">
        <f>'A(1)-Sources Stmt.'!F41</f>
        <v>0</v>
      </c>
      <c r="AN26" s="628">
        <f>'A(1)-Sources Stmt.'!O41</f>
        <v>0</v>
      </c>
      <c r="AO26" s="626">
        <f t="shared" si="3"/>
        <v>0</v>
      </c>
      <c r="AR26" s="285">
        <f t="shared" si="4"/>
        <v>0</v>
      </c>
    </row>
    <row r="27" spans="2:44" ht="9.75" customHeight="1">
      <c r="B27" s="2080" t="s">
        <v>788</v>
      </c>
      <c r="C27" s="2081"/>
      <c r="D27" s="2081"/>
      <c r="E27" s="2081"/>
      <c r="F27" s="2082"/>
      <c r="G27" s="391"/>
      <c r="H27" s="392"/>
      <c r="I27" s="392"/>
      <c r="J27" s="393"/>
      <c r="K27" s="393"/>
      <c r="L27" s="393"/>
      <c r="M27" s="393"/>
      <c r="N27" s="394"/>
      <c r="O27" s="2077" t="str">
        <f>IF(AND(Z27=0,Z28=0,Z34&lt;&gt;"Owner-occupied"),"N/A - No Commercial Space or Sources Indicated",IF(AND(Z27=0,Z28=1,Z34&lt;&gt;"Owner-occupied"),"If commercial sources are &gt;$0 then commercial uses are required",IF(AND(Z27=1,Z28=0,Z34&lt;&gt;"Owner-occupied"),"if commercial uses are &gt;$0 then commercial sources are required",IF(AND(M28&gt;0,M30&gt;0,M30&gt;=M28,Z34="Rental"),"OK",IF(AND(M28&gt;0,M30&gt;0,M30&lt;=M28,Z34="Rental"),"Failed",IF(Z34="Owner-occupied","N/A for Owner-occupied Projects"))))))</f>
        <v>N/A - No Commercial Space or Sources Indicated</v>
      </c>
      <c r="P27" s="313"/>
      <c r="Q27" s="313"/>
      <c r="R27" s="313"/>
      <c r="S27" s="313"/>
      <c r="T27" s="313"/>
      <c r="U27" s="313"/>
      <c r="V27" s="313"/>
      <c r="W27" s="313"/>
      <c r="X27" s="429"/>
      <c r="Y27" s="429"/>
      <c r="Z27" s="429">
        <f>IF(M28&gt;0,1,0)</f>
        <v>0</v>
      </c>
      <c r="AA27" s="366"/>
      <c r="AE27" s="286">
        <f t="shared" si="1"/>
        <v>0</v>
      </c>
      <c r="AF27" s="614">
        <f t="shared" si="2"/>
        <v>0</v>
      </c>
      <c r="AG27" s="107" t="str">
        <f>IF('A(1)-Sources Stmt.'!D42&lt;&gt;"",'A(1)-Sources Stmt.'!D42,"")</f>
        <v/>
      </c>
      <c r="AH27" s="611">
        <f>'A(1)-Sources Stmt.'!D42</f>
        <v>0</v>
      </c>
      <c r="AI27" s="612">
        <f>IF('A(1)-Sources Stmt.'!O42&gt;0,'A(1)-Sources Stmt.'!F42,0)</f>
        <v>0</v>
      </c>
      <c r="AJ27" s="611">
        <f t="shared" si="6"/>
        <v>0</v>
      </c>
      <c r="AK27" s="286" t="str">
        <f t="shared" si="5"/>
        <v/>
      </c>
      <c r="AM27" s="627">
        <f>'A(1)-Sources Stmt.'!F42</f>
        <v>0</v>
      </c>
      <c r="AN27" s="628">
        <f>'A(1)-Sources Stmt.'!O42</f>
        <v>0</v>
      </c>
      <c r="AO27" s="626">
        <f t="shared" si="3"/>
        <v>0</v>
      </c>
      <c r="AR27" s="285">
        <f t="shared" si="4"/>
        <v>0</v>
      </c>
    </row>
    <row r="28" spans="2:44" ht="14.25" customHeight="1">
      <c r="B28" s="2083"/>
      <c r="C28" s="2084"/>
      <c r="D28" s="2084"/>
      <c r="E28" s="2084"/>
      <c r="F28" s="2085"/>
      <c r="G28" s="385"/>
      <c r="H28" s="294"/>
      <c r="I28" s="294"/>
      <c r="J28" s="963"/>
      <c r="K28" s="2076" t="str">
        <f>IF(Z34&lt;&gt;"Owner-occupied","Commercial Uses:","")</f>
        <v>Commercial Uses:</v>
      </c>
      <c r="L28" s="2076"/>
      <c r="M28" s="965">
        <f>IF(Z34&lt;&gt;"Owner-occupied",'A(2)-Uses Statement'!I81,"")</f>
        <v>0</v>
      </c>
      <c r="N28" s="387"/>
      <c r="O28" s="2078"/>
      <c r="P28" s="313"/>
      <c r="Q28" s="313"/>
      <c r="R28" s="313"/>
      <c r="S28" s="313"/>
      <c r="T28" s="313"/>
      <c r="U28" s="313"/>
      <c r="V28" s="313"/>
      <c r="W28" s="313"/>
      <c r="X28" s="429"/>
      <c r="Y28" s="429"/>
      <c r="Z28" s="429">
        <f>IF(M30&gt;0,1,0)</f>
        <v>0</v>
      </c>
      <c r="AA28" s="366"/>
      <c r="AC28" s="286">
        <f>COUNTIF(M30,"&gt;="&amp;M28)</f>
        <v>1</v>
      </c>
      <c r="AE28" s="286">
        <f t="shared" si="1"/>
        <v>0</v>
      </c>
      <c r="AF28" s="614">
        <f t="shared" si="2"/>
        <v>0</v>
      </c>
      <c r="AG28" s="107" t="str">
        <f>IF('A(1)-Sources Stmt.'!D43&lt;&gt;"",'A(1)-Sources Stmt.'!D43,"")</f>
        <v/>
      </c>
      <c r="AH28" s="611">
        <f>'A(1)-Sources Stmt.'!D43</f>
        <v>0</v>
      </c>
      <c r="AI28" s="612">
        <f>IF('A(1)-Sources Stmt.'!O43&gt;0,'A(1)-Sources Stmt.'!F43,0)</f>
        <v>0</v>
      </c>
      <c r="AJ28" s="611">
        <f t="shared" si="6"/>
        <v>0</v>
      </c>
      <c r="AK28" s="286" t="str">
        <f t="shared" si="5"/>
        <v/>
      </c>
      <c r="AM28" s="627">
        <f>'A(1)-Sources Stmt.'!F43</f>
        <v>0</v>
      </c>
      <c r="AN28" s="628">
        <f>'A(1)-Sources Stmt.'!O43</f>
        <v>0</v>
      </c>
      <c r="AO28" s="626">
        <f t="shared" si="3"/>
        <v>0</v>
      </c>
      <c r="AR28" s="285">
        <f t="shared" si="4"/>
        <v>0</v>
      </c>
    </row>
    <row r="29" spans="2:44" ht="5.25" customHeight="1">
      <c r="B29" s="2083"/>
      <c r="C29" s="2084"/>
      <c r="D29" s="2084"/>
      <c r="E29" s="2084"/>
      <c r="F29" s="2085"/>
      <c r="G29" s="385"/>
      <c r="H29" s="294"/>
      <c r="I29" s="294"/>
      <c r="J29" s="963"/>
      <c r="K29" s="963"/>
      <c r="L29" s="301"/>
      <c r="M29" s="301"/>
      <c r="N29" s="395"/>
      <c r="O29" s="2078"/>
      <c r="P29" s="313"/>
      <c r="Q29" s="313"/>
      <c r="R29" s="313"/>
      <c r="S29" s="313"/>
      <c r="T29" s="313"/>
      <c r="U29" s="313"/>
      <c r="V29" s="313"/>
      <c r="W29" s="313"/>
      <c r="X29" s="429"/>
      <c r="Y29" s="429"/>
      <c r="Z29" s="286">
        <f>SUM(Z27:Z28)</f>
        <v>0</v>
      </c>
      <c r="AA29" s="366"/>
      <c r="AE29" s="286">
        <f t="shared" si="1"/>
        <v>0</v>
      </c>
      <c r="AF29" s="614">
        <f t="shared" si="2"/>
        <v>0</v>
      </c>
      <c r="AG29" s="107" t="str">
        <f>IF('A(1)-Sources Stmt.'!D44&lt;&gt;"",'A(1)-Sources Stmt.'!D44,"")</f>
        <v/>
      </c>
      <c r="AH29" s="611">
        <f>'A(1)-Sources Stmt.'!D44</f>
        <v>0</v>
      </c>
      <c r="AI29" s="612">
        <f>IF('A(1)-Sources Stmt.'!O44&gt;0,'A(1)-Sources Stmt.'!F44,0)</f>
        <v>0</v>
      </c>
      <c r="AJ29" s="611">
        <f t="shared" si="6"/>
        <v>0</v>
      </c>
      <c r="AK29" s="286" t="str">
        <f t="shared" si="5"/>
        <v/>
      </c>
      <c r="AM29" s="627">
        <f>'A(1)-Sources Stmt.'!F44</f>
        <v>0</v>
      </c>
      <c r="AN29" s="628">
        <f>'A(1)-Sources Stmt.'!O44</f>
        <v>0</v>
      </c>
      <c r="AO29" s="626">
        <f t="shared" si="3"/>
        <v>0</v>
      </c>
      <c r="AR29" s="285">
        <f t="shared" si="4"/>
        <v>0</v>
      </c>
    </row>
    <row r="30" spans="2:44" ht="14.25" customHeight="1">
      <c r="B30" s="2083"/>
      <c r="C30" s="2084"/>
      <c r="D30" s="2084"/>
      <c r="E30" s="2084"/>
      <c r="F30" s="2085"/>
      <c r="G30" s="385"/>
      <c r="H30" s="2076" t="str">
        <f>IF(Z34&lt;&gt;"Owner-occupied","Commercial Sources:","")</f>
        <v>Commercial Sources:</v>
      </c>
      <c r="I30" s="2076"/>
      <c r="J30" s="2076"/>
      <c r="K30" s="2076"/>
      <c r="L30" s="2076"/>
      <c r="M30" s="965">
        <f>IF(Z34&lt;&gt;"Owner-occupied",AO35,"")</f>
        <v>0</v>
      </c>
      <c r="N30" s="387"/>
      <c r="O30" s="2078"/>
      <c r="P30" s="313"/>
      <c r="Q30" s="313"/>
      <c r="R30" s="313"/>
      <c r="S30" s="313"/>
      <c r="T30" s="313"/>
      <c r="U30" s="313"/>
      <c r="V30" s="313"/>
      <c r="W30" s="313"/>
      <c r="X30" s="429"/>
      <c r="Y30" s="429"/>
      <c r="Z30" s="429"/>
      <c r="AA30" s="366"/>
      <c r="AC30" s="292">
        <f>IF(P27="",1,0)</f>
        <v>1</v>
      </c>
      <c r="AD30" s="286" t="str">
        <f>IF(M30&gt;=M28,"1","0")</f>
        <v>1</v>
      </c>
      <c r="AE30" s="286">
        <f t="shared" si="1"/>
        <v>0</v>
      </c>
      <c r="AF30" s="614">
        <f t="shared" si="2"/>
        <v>0</v>
      </c>
      <c r="AG30" s="107" t="str">
        <f>IF('A(1)-Sources Stmt.'!D45&lt;&gt;"",'A(1)-Sources Stmt.'!D45,"")</f>
        <v/>
      </c>
      <c r="AH30" s="611">
        <f>'A(1)-Sources Stmt.'!D45</f>
        <v>0</v>
      </c>
      <c r="AI30" s="612">
        <f>IF('A(1)-Sources Stmt.'!O45&gt;0,'A(1)-Sources Stmt.'!F45,0)</f>
        <v>0</v>
      </c>
      <c r="AJ30" s="611">
        <f t="shared" si="6"/>
        <v>0</v>
      </c>
      <c r="AK30" s="286" t="str">
        <f t="shared" si="5"/>
        <v/>
      </c>
      <c r="AM30" s="627">
        <f>'A(1)-Sources Stmt.'!F45</f>
        <v>0</v>
      </c>
      <c r="AN30" s="628">
        <f>'A(1)-Sources Stmt.'!O45</f>
        <v>0</v>
      </c>
      <c r="AO30" s="626">
        <f t="shared" si="3"/>
        <v>0</v>
      </c>
      <c r="AR30" s="285">
        <f t="shared" si="4"/>
        <v>0</v>
      </c>
    </row>
    <row r="31" spans="2:44" ht="15" customHeight="1">
      <c r="B31" s="2086"/>
      <c r="C31" s="2087"/>
      <c r="D31" s="2087"/>
      <c r="E31" s="2087"/>
      <c r="F31" s="2088"/>
      <c r="G31" s="388"/>
      <c r="H31" s="389"/>
      <c r="I31" s="389"/>
      <c r="J31" s="396"/>
      <c r="K31" s="396"/>
      <c r="L31" s="396"/>
      <c r="M31" s="396"/>
      <c r="N31" s="390"/>
      <c r="O31" s="2079"/>
      <c r="P31" s="313"/>
      <c r="Q31" s="313"/>
      <c r="R31" s="313"/>
      <c r="S31" s="313"/>
      <c r="T31" s="313"/>
      <c r="U31" s="313"/>
      <c r="V31" s="313"/>
      <c r="W31" s="313"/>
      <c r="X31" s="429"/>
      <c r="Y31" s="429"/>
      <c r="Z31" s="429"/>
      <c r="AA31" s="366"/>
      <c r="AE31" s="286">
        <f t="shared" si="1"/>
        <v>0</v>
      </c>
      <c r="AF31" s="614">
        <f t="shared" si="2"/>
        <v>0</v>
      </c>
      <c r="AG31" s="107" t="str">
        <f>IF('A(1)-Sources Stmt.'!D46&lt;&gt;"",'A(1)-Sources Stmt.'!D46,"")</f>
        <v/>
      </c>
      <c r="AH31" s="611">
        <f>'A(1)-Sources Stmt.'!D46</f>
        <v>0</v>
      </c>
      <c r="AI31" s="612">
        <f>IF('A(1)-Sources Stmt.'!O46&gt;0,'A(1)-Sources Stmt.'!F46,0)</f>
        <v>0</v>
      </c>
      <c r="AJ31" s="611">
        <f t="shared" si="6"/>
        <v>0</v>
      </c>
      <c r="AK31" s="286" t="str">
        <f t="shared" si="5"/>
        <v/>
      </c>
      <c r="AM31" s="627">
        <f>'A(1)-Sources Stmt.'!F46</f>
        <v>0</v>
      </c>
      <c r="AN31" s="628">
        <f>'A(1)-Sources Stmt.'!O46</f>
        <v>0</v>
      </c>
      <c r="AO31" s="626">
        <f t="shared" si="3"/>
        <v>0</v>
      </c>
      <c r="AR31" s="285">
        <f t="shared" si="4"/>
        <v>0</v>
      </c>
    </row>
    <row r="32" spans="2:44" s="15" customFormat="1" ht="3.75" customHeight="1">
      <c r="B32" s="243"/>
      <c r="C32" s="243"/>
      <c r="D32" s="243"/>
      <c r="E32" s="243"/>
      <c r="F32" s="243"/>
      <c r="P32" s="13"/>
      <c r="Q32" s="13"/>
      <c r="R32" s="13"/>
      <c r="S32" s="13"/>
      <c r="T32" s="13"/>
      <c r="U32" s="13"/>
      <c r="V32" s="13"/>
      <c r="W32" s="13"/>
      <c r="X32" s="358"/>
      <c r="Y32" s="358"/>
      <c r="Z32" s="358"/>
      <c r="AA32" s="7"/>
      <c r="AB32" s="286"/>
      <c r="AC32" s="286"/>
      <c r="AD32" s="286"/>
      <c r="AE32" s="286">
        <f t="shared" si="1"/>
        <v>0</v>
      </c>
      <c r="AF32" s="614">
        <f t="shared" si="2"/>
        <v>0</v>
      </c>
      <c r="AG32" s="107" t="str">
        <f>IF('A(1)-Sources Stmt.'!D47&lt;&gt;"",'A(1)-Sources Stmt.'!D47,"")</f>
        <v/>
      </c>
      <c r="AH32" s="611">
        <f>'A(1)-Sources Stmt.'!D47</f>
        <v>0</v>
      </c>
      <c r="AI32" s="612">
        <f>IF('A(1)-Sources Stmt.'!O47&gt;0,'A(1)-Sources Stmt.'!F47,0)</f>
        <v>0</v>
      </c>
      <c r="AJ32" s="611">
        <f t="shared" si="6"/>
        <v>0</v>
      </c>
      <c r="AK32" s="286" t="str">
        <f t="shared" si="5"/>
        <v/>
      </c>
      <c r="AM32" s="627">
        <f>'A(1)-Sources Stmt.'!F47</f>
        <v>0</v>
      </c>
      <c r="AN32" s="628">
        <f>'A(1)-Sources Stmt.'!O47</f>
        <v>0</v>
      </c>
      <c r="AO32" s="626">
        <f t="shared" si="3"/>
        <v>0</v>
      </c>
      <c r="AR32" s="285">
        <f t="shared" si="4"/>
        <v>0</v>
      </c>
    </row>
    <row r="33" spans="2:44" s="15" customFormat="1" ht="4.5" customHeight="1">
      <c r="B33" s="2089" t="s">
        <v>1133</v>
      </c>
      <c r="C33" s="2090"/>
      <c r="D33" s="2090"/>
      <c r="E33" s="2090"/>
      <c r="F33" s="2091"/>
      <c r="G33" s="397"/>
      <c r="H33" s="398"/>
      <c r="I33" s="398"/>
      <c r="J33" s="398"/>
      <c r="K33" s="398"/>
      <c r="L33" s="398"/>
      <c r="M33" s="398"/>
      <c r="N33" s="399"/>
      <c r="O33" s="2155" t="str">
        <f>IF(AND(Z34="Rental",M46="Yes"),"OK",IF(AND(Z34="Rental",M46="No"),"Failed",IF(Z34="Owner-occupied","N/A for Owner-occupied Projects","")))</f>
        <v/>
      </c>
      <c r="P33" s="435"/>
      <c r="Q33" s="435"/>
      <c r="R33" s="435"/>
      <c r="S33" s="435"/>
      <c r="T33" s="435"/>
      <c r="U33" s="435"/>
      <c r="V33" s="435"/>
      <c r="W33" s="435"/>
      <c r="X33" s="358"/>
      <c r="Y33" s="358"/>
      <c r="Z33" s="358"/>
      <c r="AA33" s="7"/>
      <c r="AB33" s="124"/>
      <c r="AC33" s="124"/>
      <c r="AE33" s="286">
        <f t="shared" si="1"/>
        <v>0</v>
      </c>
      <c r="AF33" s="614">
        <f t="shared" si="2"/>
        <v>0</v>
      </c>
      <c r="AG33" s="107" t="str">
        <f>IF('A(1)-Sources Stmt.'!D48&lt;&gt;"",'A(1)-Sources Stmt.'!D48,"")</f>
        <v/>
      </c>
      <c r="AH33" s="611">
        <f>'A(1)-Sources Stmt.'!D48</f>
        <v>0</v>
      </c>
      <c r="AI33" s="612">
        <f>IF('A(1)-Sources Stmt.'!O48&gt;0,'A(1)-Sources Stmt.'!F48,0)</f>
        <v>0</v>
      </c>
      <c r="AJ33" s="611">
        <f t="shared" si="6"/>
        <v>0</v>
      </c>
      <c r="AK33" s="286" t="str">
        <f t="shared" si="5"/>
        <v/>
      </c>
      <c r="AM33" s="627">
        <f>'A(1)-Sources Stmt.'!F48</f>
        <v>0</v>
      </c>
      <c r="AN33" s="628">
        <f>'A(1)-Sources Stmt.'!O48</f>
        <v>0</v>
      </c>
      <c r="AO33" s="626">
        <f t="shared" si="3"/>
        <v>0</v>
      </c>
      <c r="AR33" s="285">
        <f t="shared" si="4"/>
        <v>0</v>
      </c>
    </row>
    <row r="34" spans="2:44" s="15" customFormat="1" ht="14.25" customHeight="1">
      <c r="B34" s="2064"/>
      <c r="C34" s="2065"/>
      <c r="D34" s="2065"/>
      <c r="E34" s="2065"/>
      <c r="F34" s="2066"/>
      <c r="G34" s="2132" t="str">
        <f>IF($Z$34&lt;&gt;"Owner-occupied","1.","")</f>
        <v>1.</v>
      </c>
      <c r="H34" s="2131" t="str">
        <f>IF(AE35&gt;=1,(VLOOKUP(1,AE19:AJ34,3,FALSE)),"")</f>
        <v/>
      </c>
      <c r="I34" s="2131"/>
      <c r="J34" s="2148" t="str">
        <f>IF($Z$34&lt;&gt;"Owner-occupied","5.","")</f>
        <v>5.</v>
      </c>
      <c r="K34" s="2113" t="str">
        <f>IF(AE35&gt;=5,(VLOOKUP(5,AE20:AJ34,3,FALSE)),"")</f>
        <v/>
      </c>
      <c r="L34" s="2113"/>
      <c r="M34" s="2113"/>
      <c r="N34" s="502"/>
      <c r="O34" s="2156"/>
      <c r="P34" s="435"/>
      <c r="Q34" s="435"/>
      <c r="R34" s="435"/>
      <c r="S34" s="435"/>
      <c r="T34" s="435"/>
      <c r="U34" s="435"/>
      <c r="V34" s="435"/>
      <c r="W34" s="435"/>
      <c r="X34" s="358"/>
      <c r="Y34" s="358"/>
      <c r="Z34" s="615" t="str">
        <f>'Project Info and Instructions'!$F$20</f>
        <v>Rental</v>
      </c>
      <c r="AA34" s="7"/>
      <c r="AB34" s="124"/>
      <c r="AC34" s="124"/>
      <c r="AE34" s="286">
        <f t="shared" si="1"/>
        <v>0</v>
      </c>
      <c r="AF34" s="614">
        <f t="shared" si="2"/>
        <v>0</v>
      </c>
      <c r="AG34" s="107" t="str">
        <f>IF('A(1)-Sources Stmt.'!D49&lt;&gt;"",'A(1)-Sources Stmt.'!D49,"")</f>
        <v/>
      </c>
      <c r="AH34" s="611">
        <f>'A(1)-Sources Stmt.'!D49</f>
        <v>0</v>
      </c>
      <c r="AI34" s="612">
        <f>IF('A(1)-Sources Stmt.'!O49&gt;0,'A(1)-Sources Stmt.'!F49,0)</f>
        <v>0</v>
      </c>
      <c r="AJ34" s="611">
        <f t="shared" si="6"/>
        <v>0</v>
      </c>
      <c r="AK34" s="286" t="str">
        <f t="shared" si="5"/>
        <v/>
      </c>
      <c r="AM34" s="627">
        <f>'A(1)-Sources Stmt.'!F49</f>
        <v>0</v>
      </c>
      <c r="AN34" s="628">
        <f>'A(1)-Sources Stmt.'!O49</f>
        <v>0</v>
      </c>
      <c r="AO34" s="626">
        <f t="shared" si="3"/>
        <v>0</v>
      </c>
      <c r="AR34" s="285">
        <f t="shared" si="4"/>
        <v>0</v>
      </c>
    </row>
    <row r="35" spans="2:44" s="15" customFormat="1" ht="2.25" customHeight="1">
      <c r="B35" s="2064"/>
      <c r="C35" s="2065"/>
      <c r="D35" s="2065"/>
      <c r="E35" s="2065"/>
      <c r="F35" s="2066"/>
      <c r="G35" s="2132"/>
      <c r="J35" s="2148"/>
      <c r="K35" s="135"/>
      <c r="L35" s="135"/>
      <c r="M35" s="135"/>
      <c r="N35" s="502"/>
      <c r="O35" s="2156"/>
      <c r="P35" s="435"/>
      <c r="Q35" s="435"/>
      <c r="R35" s="435"/>
      <c r="S35" s="435"/>
      <c r="T35" s="435"/>
      <c r="U35" s="435"/>
      <c r="V35" s="435"/>
      <c r="W35" s="435"/>
      <c r="X35" s="358"/>
      <c r="Y35" s="358"/>
      <c r="Z35" s="358"/>
      <c r="AA35" s="7"/>
      <c r="AB35" s="124"/>
      <c r="AC35" s="124"/>
      <c r="AE35" s="614">
        <f>MAX(AE20:AE34)</f>
        <v>0</v>
      </c>
      <c r="AF35" s="614">
        <f t="shared" si="2"/>
        <v>0</v>
      </c>
      <c r="AH35" s="286"/>
      <c r="AI35" s="299">
        <f>SUM(AI20:AI34)</f>
        <v>0</v>
      </c>
      <c r="AJ35" s="286"/>
      <c r="AK35" s="286"/>
      <c r="AO35" s="629">
        <f>SUM(AO20:AO34)</f>
        <v>0</v>
      </c>
      <c r="AR35" s="285"/>
    </row>
    <row r="36" spans="2:44" s="15" customFormat="1" ht="7.5" customHeight="1">
      <c r="B36" s="2064"/>
      <c r="C36" s="2065"/>
      <c r="D36" s="2065"/>
      <c r="E36" s="2065"/>
      <c r="F36" s="2066"/>
      <c r="H36" s="182"/>
      <c r="I36" s="182"/>
      <c r="N36" s="502"/>
      <c r="O36" s="2156"/>
      <c r="P36" s="435"/>
      <c r="Q36" s="435"/>
      <c r="R36" s="435"/>
      <c r="S36" s="435"/>
      <c r="T36" s="435"/>
      <c r="U36" s="435"/>
      <c r="V36" s="435"/>
      <c r="W36" s="435"/>
      <c r="X36" s="358"/>
      <c r="Y36" s="358"/>
      <c r="Z36" s="358"/>
      <c r="AA36" s="7"/>
      <c r="AB36" s="124"/>
      <c r="AC36" s="124"/>
      <c r="AE36" s="287"/>
      <c r="AF36" s="287"/>
      <c r="AH36" s="286"/>
      <c r="AI36" s="299"/>
      <c r="AJ36" s="286"/>
      <c r="AK36" s="286"/>
      <c r="AO36" s="629"/>
      <c r="AR36" s="285"/>
    </row>
    <row r="37" spans="2:44" s="15" customFormat="1" ht="14.25" customHeight="1">
      <c r="B37" s="2064"/>
      <c r="C37" s="2065"/>
      <c r="D37" s="2065"/>
      <c r="E37" s="2065"/>
      <c r="F37" s="2066"/>
      <c r="G37" s="2099" t="str">
        <f>IF($Z$34&lt;&gt;"Owner-occupied","2.","")</f>
        <v>2.</v>
      </c>
      <c r="H37" s="2131" t="str">
        <f>IF(AE35&gt;=2,(VLOOKUP(2,AE20:AJ34,3,FALSE)),"")</f>
        <v/>
      </c>
      <c r="I37" s="2131"/>
      <c r="J37" s="2112" t="str">
        <f>IF($Z$34&lt;&gt;"Owner-occupied","6.","")</f>
        <v>6.</v>
      </c>
      <c r="K37" s="2113" t="str">
        <f>IF(AE35&gt;=6,(VLOOKUP(6,AE20:AJ34,3,FALSE)),"")</f>
        <v/>
      </c>
      <c r="L37" s="2113"/>
      <c r="M37" s="2113"/>
      <c r="N37" s="502"/>
      <c r="O37" s="2156"/>
      <c r="P37" s="435"/>
      <c r="Q37" s="435"/>
      <c r="R37" s="435"/>
      <c r="S37" s="435"/>
      <c r="T37" s="435"/>
      <c r="U37" s="435"/>
      <c r="V37" s="435"/>
      <c r="W37" s="435"/>
      <c r="X37" s="358"/>
      <c r="Y37" s="358"/>
      <c r="Z37" s="358"/>
      <c r="AA37" s="7"/>
      <c r="AB37" s="124"/>
      <c r="AC37" s="124"/>
      <c r="AE37" s="287"/>
      <c r="AF37" s="287"/>
      <c r="AH37" s="286"/>
      <c r="AI37" s="299"/>
      <c r="AJ37" s="286"/>
      <c r="AK37" s="286"/>
      <c r="AO37" s="629"/>
      <c r="AR37" s="285"/>
    </row>
    <row r="38" spans="2:44" s="15" customFormat="1" ht="1.5" customHeight="1">
      <c r="B38" s="2064"/>
      <c r="C38" s="2065"/>
      <c r="D38" s="2065"/>
      <c r="E38" s="2065"/>
      <c r="F38" s="2066"/>
      <c r="G38" s="2099"/>
      <c r="H38" s="715"/>
      <c r="I38" s="715"/>
      <c r="J38" s="2112"/>
      <c r="K38" s="714"/>
      <c r="L38" s="714"/>
      <c r="M38" s="714"/>
      <c r="N38" s="502"/>
      <c r="O38" s="2156"/>
      <c r="P38" s="435"/>
      <c r="Q38" s="435"/>
      <c r="R38" s="435"/>
      <c r="S38" s="435"/>
      <c r="T38" s="435"/>
      <c r="U38" s="435"/>
      <c r="V38" s="435"/>
      <c r="W38" s="435"/>
      <c r="X38" s="358"/>
      <c r="Y38" s="358"/>
      <c r="Z38" s="358"/>
      <c r="AA38" s="7"/>
      <c r="AB38" s="124"/>
      <c r="AC38" s="124"/>
      <c r="AE38" s="287"/>
      <c r="AF38" s="287"/>
      <c r="AH38" s="286"/>
      <c r="AI38" s="299"/>
      <c r="AJ38" s="286"/>
      <c r="AK38" s="286"/>
      <c r="AO38" s="629"/>
      <c r="AR38" s="285"/>
    </row>
    <row r="39" spans="2:44" s="15" customFormat="1" ht="6.75" customHeight="1">
      <c r="B39" s="2064"/>
      <c r="C39" s="2065"/>
      <c r="D39" s="2065"/>
      <c r="E39" s="2065"/>
      <c r="F39" s="2066"/>
      <c r="N39" s="502"/>
      <c r="O39" s="2156"/>
      <c r="P39" s="435"/>
      <c r="Q39" s="435"/>
      <c r="R39" s="435"/>
      <c r="S39" s="435"/>
      <c r="T39" s="435"/>
      <c r="U39" s="435"/>
      <c r="V39" s="435"/>
      <c r="W39" s="435"/>
      <c r="X39" s="358"/>
      <c r="Y39" s="358"/>
      <c r="Z39" s="358"/>
      <c r="AA39" s="7"/>
      <c r="AB39" s="124"/>
      <c r="AC39" s="124"/>
      <c r="AE39" s="124"/>
      <c r="AF39" s="124"/>
    </row>
    <row r="40" spans="2:44" s="15" customFormat="1" ht="14.25" customHeight="1">
      <c r="B40" s="2064"/>
      <c r="C40" s="2065"/>
      <c r="D40" s="2065"/>
      <c r="E40" s="2065"/>
      <c r="F40" s="2066"/>
      <c r="G40" s="2099" t="str">
        <f>IF($Z$34&lt;&gt;"Owner-occupied","3.","")</f>
        <v>3.</v>
      </c>
      <c r="H40" s="2131" t="str">
        <f>IF(AE35&gt;=3,(VLOOKUP(3,AE20:AJ34,3,FALSE)),"")</f>
        <v/>
      </c>
      <c r="I40" s="2131"/>
      <c r="J40" s="2112" t="str">
        <f>IF($Z$34&lt;&gt;"Owner-occupied","7.","")</f>
        <v>7.</v>
      </c>
      <c r="K40" s="2113" t="str">
        <f>IF(AE35&gt;=7,(VLOOKUP(7,AE20:AJ34,3,FALSE)),"")</f>
        <v/>
      </c>
      <c r="L40" s="2113"/>
      <c r="M40" s="2113"/>
      <c r="N40" s="502"/>
      <c r="O40" s="2156"/>
      <c r="P40" s="435"/>
      <c r="Q40" s="435"/>
      <c r="R40" s="435"/>
      <c r="S40" s="435"/>
      <c r="T40" s="435"/>
      <c r="U40" s="435"/>
      <c r="V40" s="435"/>
      <c r="W40" s="435"/>
      <c r="X40" s="358"/>
      <c r="Y40" s="358"/>
      <c r="Z40" s="358" t="s">
        <v>1159</v>
      </c>
      <c r="AA40" s="7"/>
      <c r="AB40" s="124"/>
      <c r="AC40" s="124"/>
      <c r="AE40" s="124"/>
      <c r="AF40" s="124"/>
    </row>
    <row r="41" spans="2:44" s="15" customFormat="1" ht="2.25" customHeight="1">
      <c r="B41" s="2064"/>
      <c r="C41" s="2065"/>
      <c r="D41" s="2065"/>
      <c r="E41" s="2065"/>
      <c r="F41" s="2066"/>
      <c r="G41" s="2099"/>
      <c r="J41" s="2112"/>
      <c r="K41" s="135"/>
      <c r="L41" s="135"/>
      <c r="M41" s="135"/>
      <c r="N41" s="502"/>
      <c r="O41" s="2156"/>
      <c r="P41" s="435"/>
      <c r="Q41" s="435"/>
      <c r="R41" s="435"/>
      <c r="S41" s="435"/>
      <c r="T41" s="435"/>
      <c r="U41" s="435"/>
      <c r="V41" s="435"/>
      <c r="W41" s="435"/>
      <c r="X41" s="358"/>
      <c r="Y41" s="358"/>
      <c r="Z41" s="358"/>
      <c r="AA41" s="7"/>
      <c r="AB41" s="124"/>
      <c r="AC41" s="124"/>
      <c r="AE41" s="124"/>
      <c r="AF41" s="124"/>
    </row>
    <row r="42" spans="2:44" s="15" customFormat="1" ht="6.75" customHeight="1">
      <c r="B42" s="2064"/>
      <c r="C42" s="2065"/>
      <c r="D42" s="2065"/>
      <c r="E42" s="2065"/>
      <c r="F42" s="2066"/>
      <c r="H42" s="182"/>
      <c r="I42" s="182"/>
      <c r="K42" s="182"/>
      <c r="L42" s="182"/>
      <c r="M42" s="182"/>
      <c r="N42" s="502"/>
      <c r="O42" s="2156"/>
      <c r="P42" s="435"/>
      <c r="Q42" s="435"/>
      <c r="R42" s="435"/>
      <c r="S42" s="435"/>
      <c r="T42" s="435"/>
      <c r="U42" s="435"/>
      <c r="V42" s="435"/>
      <c r="W42" s="435"/>
      <c r="X42" s="358"/>
      <c r="Y42" s="358"/>
      <c r="Z42" s="358"/>
      <c r="AA42" s="7"/>
      <c r="AB42" s="124"/>
      <c r="AC42" s="124"/>
      <c r="AE42" s="124"/>
      <c r="AF42" s="124"/>
    </row>
    <row r="43" spans="2:44" s="15" customFormat="1" ht="14.25" customHeight="1">
      <c r="B43" s="2064"/>
      <c r="C43" s="2065"/>
      <c r="D43" s="2065"/>
      <c r="E43" s="2065"/>
      <c r="F43" s="2066"/>
      <c r="G43" s="2099" t="str">
        <f>IF($Z$34&lt;&gt;"Owner-occupied","4.","")</f>
        <v>4.</v>
      </c>
      <c r="H43" s="2131" t="str">
        <f>IF(AE35&gt;=4,(VLOOKUP(4,AE20:AJ34,3,FALSE)),"")</f>
        <v/>
      </c>
      <c r="I43" s="2131"/>
      <c r="J43" s="2112" t="str">
        <f>IF($Z$34&lt;&gt;"Owner-occupied","8.","")</f>
        <v>8.</v>
      </c>
      <c r="K43" s="2113" t="str">
        <f>IF(AE35&gt;=8,(VLOOKUP(8,AE20:AJ34,3,FALSE)),"")</f>
        <v/>
      </c>
      <c r="L43" s="2113"/>
      <c r="M43" s="2113"/>
      <c r="N43" s="502"/>
      <c r="O43" s="2156"/>
      <c r="P43" s="435"/>
      <c r="Q43" s="435"/>
      <c r="R43" s="435"/>
      <c r="S43" s="435"/>
      <c r="T43" s="435"/>
      <c r="U43" s="435"/>
      <c r="V43" s="435"/>
      <c r="W43" s="435"/>
      <c r="X43" s="358"/>
      <c r="Y43" s="358"/>
      <c r="Z43" s="358"/>
      <c r="AA43" s="7"/>
      <c r="AB43" s="286"/>
      <c r="AC43" s="286"/>
      <c r="AD43" s="286"/>
      <c r="AE43" s="286"/>
      <c r="AF43" s="286"/>
      <c r="AG43" s="286"/>
      <c r="AH43" s="286"/>
      <c r="AI43" s="286"/>
      <c r="AJ43" s="286"/>
      <c r="AK43" s="286"/>
      <c r="AL43" s="285"/>
      <c r="AO43" s="285"/>
    </row>
    <row r="44" spans="2:44" s="15" customFormat="1" ht="2.25" customHeight="1">
      <c r="B44" s="2092"/>
      <c r="C44" s="2093"/>
      <c r="D44" s="2093"/>
      <c r="E44" s="2093"/>
      <c r="F44" s="2094"/>
      <c r="G44" s="2099"/>
      <c r="H44" s="715"/>
      <c r="I44" s="715"/>
      <c r="J44" s="2112"/>
      <c r="K44" s="714"/>
      <c r="L44" s="714"/>
      <c r="M44" s="714"/>
      <c r="N44" s="502"/>
      <c r="O44" s="2156"/>
      <c r="P44" s="435"/>
      <c r="Q44" s="435"/>
      <c r="R44" s="435"/>
      <c r="S44" s="435"/>
      <c r="T44" s="435"/>
      <c r="U44" s="435"/>
      <c r="V44" s="435"/>
      <c r="W44" s="435"/>
      <c r="X44" s="358"/>
      <c r="Y44" s="358"/>
      <c r="Z44" s="358"/>
      <c r="AA44" s="7"/>
      <c r="AB44" s="286"/>
      <c r="AC44" s="286"/>
      <c r="AD44" s="286"/>
      <c r="AE44" s="286"/>
      <c r="AF44" s="286"/>
      <c r="AG44" s="286"/>
      <c r="AH44" s="286"/>
      <c r="AI44" s="286"/>
      <c r="AJ44" s="286"/>
      <c r="AK44" s="286"/>
      <c r="AL44" s="285"/>
      <c r="AO44" s="285"/>
    </row>
    <row r="45" spans="2:44" s="15" customFormat="1" ht="3" customHeight="1">
      <c r="B45" s="2092"/>
      <c r="C45" s="2093"/>
      <c r="D45" s="2093"/>
      <c r="E45" s="2093"/>
      <c r="F45" s="2094"/>
      <c r="G45" s="1281"/>
      <c r="H45" s="1282"/>
      <c r="I45" s="1282"/>
      <c r="J45" s="1280"/>
      <c r="K45" s="1283"/>
      <c r="L45" s="1283"/>
      <c r="M45" s="1283"/>
      <c r="N45" s="502"/>
      <c r="O45" s="2156"/>
      <c r="P45" s="435"/>
      <c r="Q45" s="435"/>
      <c r="R45" s="435"/>
      <c r="S45" s="435"/>
      <c r="T45" s="435"/>
      <c r="U45" s="435"/>
      <c r="V45" s="435"/>
      <c r="W45" s="435"/>
      <c r="X45" s="358"/>
      <c r="Y45" s="358"/>
      <c r="Z45" s="358"/>
      <c r="AA45" s="7"/>
      <c r="AB45" s="286"/>
      <c r="AC45" s="286"/>
      <c r="AD45" s="286"/>
      <c r="AE45" s="286"/>
      <c r="AF45" s="286"/>
      <c r="AG45" s="286"/>
      <c r="AH45" s="286"/>
      <c r="AI45" s="286"/>
      <c r="AJ45" s="286"/>
      <c r="AK45" s="286"/>
      <c r="AL45" s="285"/>
      <c r="AO45" s="285"/>
    </row>
    <row r="46" spans="2:44" s="15" customFormat="1" ht="14.25" customHeight="1">
      <c r="B46" s="2092"/>
      <c r="C46" s="2093"/>
      <c r="D46" s="2093"/>
      <c r="E46" s="2093"/>
      <c r="F46" s="2094"/>
      <c r="G46" s="1281"/>
      <c r="H46" s="2140" t="str">
        <f>IF(Z34="Rental","Select 'Yes' to certify:","")</f>
        <v>Select 'Yes' to certify:</v>
      </c>
      <c r="I46" s="2140"/>
      <c r="J46" s="2140"/>
      <c r="K46" s="2140"/>
      <c r="L46" s="2141"/>
      <c r="M46" s="973"/>
      <c r="N46" s="502"/>
      <c r="O46" s="2156"/>
      <c r="P46" s="435"/>
      <c r="Q46" s="435"/>
      <c r="R46" s="435"/>
      <c r="S46" s="435"/>
      <c r="T46" s="435"/>
      <c r="U46" s="435"/>
      <c r="V46" s="435"/>
      <c r="W46" s="435"/>
      <c r="X46" s="358"/>
      <c r="Y46" s="358"/>
      <c r="Z46" s="358"/>
      <c r="AA46" s="7"/>
      <c r="AB46" s="286"/>
      <c r="AC46" s="286"/>
      <c r="AD46" s="286"/>
      <c r="AE46" s="286"/>
      <c r="AF46" s="286"/>
      <c r="AG46" s="286"/>
      <c r="AH46" s="286"/>
      <c r="AI46" s="286"/>
      <c r="AJ46" s="286"/>
      <c r="AK46" s="286"/>
      <c r="AL46" s="285"/>
      <c r="AO46" s="285"/>
    </row>
    <row r="47" spans="2:44" s="15" customFormat="1" ht="6.75" customHeight="1">
      <c r="B47" s="2067"/>
      <c r="C47" s="2068"/>
      <c r="D47" s="2068"/>
      <c r="E47" s="2068"/>
      <c r="F47" s="2069"/>
      <c r="G47" s="400"/>
      <c r="H47" s="401"/>
      <c r="I47" s="401"/>
      <c r="J47" s="401"/>
      <c r="K47" s="401"/>
      <c r="L47" s="401"/>
      <c r="M47" s="401"/>
      <c r="N47" s="402"/>
      <c r="O47" s="2157"/>
      <c r="P47" s="435"/>
      <c r="Q47" s="435"/>
      <c r="R47" s="435"/>
      <c r="S47" s="435"/>
      <c r="T47" s="435"/>
      <c r="U47" s="435"/>
      <c r="V47" s="435"/>
      <c r="W47" s="435"/>
      <c r="X47" s="40"/>
      <c r="Y47" s="8"/>
      <c r="Z47" s="8"/>
      <c r="AA47" s="7"/>
      <c r="AB47" s="286"/>
      <c r="AC47" s="286"/>
      <c r="AD47" s="286"/>
      <c r="AE47" s="286"/>
      <c r="AF47" s="286"/>
      <c r="AG47" s="286"/>
      <c r="AH47" s="286"/>
      <c r="AI47" s="286"/>
      <c r="AJ47" s="286"/>
      <c r="AK47" s="286"/>
      <c r="AL47" s="285"/>
      <c r="AO47" s="285"/>
    </row>
    <row r="48" spans="2:44" s="15" customFormat="1" ht="6.75" customHeight="1">
      <c r="B48" s="40"/>
      <c r="C48" s="40"/>
      <c r="D48" s="40"/>
      <c r="E48" s="40"/>
      <c r="F48" s="40"/>
      <c r="G48" s="40"/>
      <c r="H48" s="40"/>
      <c r="I48" s="40"/>
      <c r="J48" s="40"/>
      <c r="K48" s="40"/>
      <c r="L48" s="40"/>
      <c r="M48" s="40"/>
      <c r="N48" s="40"/>
      <c r="O48" s="40"/>
      <c r="P48" s="40"/>
      <c r="Q48" s="40"/>
      <c r="R48" s="40"/>
      <c r="S48" s="40"/>
      <c r="T48" s="40"/>
      <c r="U48" s="40"/>
      <c r="V48" s="40"/>
      <c r="W48" s="40"/>
      <c r="X48" s="40"/>
      <c r="Y48" s="8"/>
      <c r="Z48" s="8"/>
      <c r="AA48" s="7"/>
      <c r="AB48" s="286"/>
      <c r="AC48" s="286"/>
      <c r="AD48" s="286"/>
      <c r="AE48" s="286"/>
      <c r="AF48" s="286"/>
      <c r="AG48" s="286"/>
      <c r="AH48" s="286"/>
      <c r="AI48" s="286"/>
      <c r="AJ48" s="286"/>
      <c r="AK48" s="286"/>
      <c r="AL48" s="285"/>
      <c r="AO48" s="285"/>
    </row>
    <row r="49" spans="2:37" ht="6.75" customHeight="1">
      <c r="B49" s="303"/>
      <c r="C49" s="303"/>
      <c r="D49" s="303"/>
      <c r="E49" s="303"/>
      <c r="F49" s="303"/>
      <c r="G49" s="303"/>
      <c r="H49" s="303"/>
      <c r="I49" s="303"/>
      <c r="J49" s="303"/>
      <c r="K49" s="303"/>
      <c r="L49" s="303"/>
      <c r="M49" s="303"/>
      <c r="N49" s="303"/>
      <c r="O49" s="303"/>
      <c r="P49" s="303"/>
      <c r="Q49" s="303"/>
      <c r="R49" s="303"/>
      <c r="S49" s="303"/>
      <c r="T49" s="303"/>
      <c r="U49" s="303"/>
      <c r="V49" s="303"/>
      <c r="W49" s="303"/>
      <c r="X49" s="303"/>
      <c r="Y49" s="369"/>
      <c r="Z49" s="369"/>
      <c r="AA49" s="366"/>
      <c r="AD49" s="292"/>
      <c r="AG49" s="286"/>
      <c r="AH49" s="286"/>
      <c r="AI49" s="286"/>
      <c r="AJ49" s="286"/>
      <c r="AK49" s="286"/>
    </row>
    <row r="50" spans="2:37" ht="18.75">
      <c r="B50" s="2061" t="s">
        <v>1118</v>
      </c>
      <c r="C50" s="2061"/>
      <c r="D50" s="2061"/>
      <c r="E50" s="2061"/>
      <c r="F50" s="2061"/>
      <c r="G50" s="2061"/>
      <c r="H50" s="2061"/>
      <c r="I50" s="2061"/>
      <c r="J50" s="2061"/>
      <c r="K50" s="2061"/>
      <c r="L50" s="2061"/>
      <c r="M50" s="2061"/>
      <c r="N50" s="2061"/>
      <c r="O50" s="2061"/>
      <c r="P50" s="2061"/>
      <c r="Q50" s="2061"/>
      <c r="R50" s="2061"/>
      <c r="S50" s="2061"/>
      <c r="T50" s="2061"/>
      <c r="U50" s="2061"/>
      <c r="V50" s="415"/>
      <c r="W50" s="415"/>
      <c r="X50" s="415"/>
      <c r="Y50" s="370"/>
      <c r="Z50" s="370"/>
      <c r="AA50" s="366"/>
      <c r="AG50" s="286"/>
      <c r="AH50" s="286"/>
      <c r="AI50" s="286"/>
      <c r="AJ50" s="286"/>
      <c r="AK50" s="286"/>
    </row>
    <row r="51" spans="2:37" ht="13.5" customHeight="1">
      <c r="B51" s="2047" t="s">
        <v>126</v>
      </c>
      <c r="C51" s="2048"/>
      <c r="D51" s="2048"/>
      <c r="E51" s="2048"/>
      <c r="F51" s="2048"/>
      <c r="G51" s="2048" t="s">
        <v>127</v>
      </c>
      <c r="H51" s="2048"/>
      <c r="I51" s="2048"/>
      <c r="J51" s="2048"/>
      <c r="K51" s="2048"/>
      <c r="L51" s="2048"/>
      <c r="M51" s="2048"/>
      <c r="N51" s="2048"/>
      <c r="O51" s="1585" t="s">
        <v>785</v>
      </c>
      <c r="P51" s="2095" t="s">
        <v>129</v>
      </c>
      <c r="Q51" s="2096"/>
      <c r="R51" s="2096"/>
      <c r="S51" s="2096"/>
      <c r="T51" s="2096"/>
      <c r="U51" s="2096"/>
      <c r="V51" s="2096"/>
      <c r="W51" s="2096"/>
      <c r="X51" s="365"/>
      <c r="Y51" s="365"/>
      <c r="Z51" s="365"/>
      <c r="AA51" s="366"/>
      <c r="AG51" s="286"/>
      <c r="AH51" s="286"/>
      <c r="AI51" s="286"/>
      <c r="AJ51" s="286"/>
      <c r="AK51" s="286"/>
    </row>
    <row r="52" spans="2:37" ht="6" customHeight="1">
      <c r="B52" s="2049" t="s">
        <v>130</v>
      </c>
      <c r="C52" s="2050"/>
      <c r="D52" s="2050"/>
      <c r="E52" s="2050"/>
      <c r="F52" s="2051"/>
      <c r="G52" s="289"/>
      <c r="H52" s="290"/>
      <c r="I52" s="290"/>
      <c r="J52" s="290"/>
      <c r="K52" s="290"/>
      <c r="L52" s="290"/>
      <c r="M52" s="290"/>
      <c r="N52" s="304"/>
      <c r="O52" s="2116" t="str">
        <f>IF(L60&lt;&gt;"",IF(AF56=1,AI56,AI57),"")</f>
        <v/>
      </c>
      <c r="P52" s="2149" t="str">
        <f>IF(AND(O52="Please Explain",L53="No"),Z53,IF(AND(O52="Please Explain",L53="Yes"),Z54,""))</f>
        <v/>
      </c>
      <c r="Q52" s="2150"/>
      <c r="R52" s="2150"/>
      <c r="S52" s="2150"/>
      <c r="T52" s="2150"/>
      <c r="U52" s="2150"/>
      <c r="V52" s="2150"/>
      <c r="W52" s="2151"/>
      <c r="X52" s="409"/>
      <c r="Y52" s="409"/>
      <c r="Z52" s="409"/>
      <c r="AA52" s="285"/>
      <c r="AG52" s="286"/>
      <c r="AH52" s="286"/>
      <c r="AI52" s="286"/>
      <c r="AJ52" s="286"/>
      <c r="AK52" s="286"/>
    </row>
    <row r="53" spans="2:37" ht="14.25" customHeight="1">
      <c r="B53" s="2052"/>
      <c r="C53" s="2053"/>
      <c r="D53" s="2053"/>
      <c r="E53" s="2053"/>
      <c r="F53" s="2054"/>
      <c r="G53" s="293"/>
      <c r="H53" s="294"/>
      <c r="I53" s="2294" t="s">
        <v>929</v>
      </c>
      <c r="J53" s="2294"/>
      <c r="K53" s="2294"/>
      <c r="L53" s="2295" t="str">
        <f>IF(AND(AE56&gt;0,Z58&gt;0),"Yes",IF(AND(Z58&gt;0,AE56=0),"No",""))</f>
        <v/>
      </c>
      <c r="M53" s="2296"/>
      <c r="N53" s="309"/>
      <c r="O53" s="2117"/>
      <c r="P53" s="2152"/>
      <c r="Q53" s="2153"/>
      <c r="R53" s="2153"/>
      <c r="S53" s="2153"/>
      <c r="T53" s="2153"/>
      <c r="U53" s="2153"/>
      <c r="V53" s="2153"/>
      <c r="W53" s="2154"/>
      <c r="X53" s="409"/>
      <c r="Y53" s="409"/>
      <c r="Z53" s="409" t="s">
        <v>932</v>
      </c>
      <c r="AA53" s="285"/>
      <c r="AG53" s="286"/>
      <c r="AH53" s="286"/>
      <c r="AI53" s="286"/>
      <c r="AJ53" s="286"/>
      <c r="AK53" s="286"/>
    </row>
    <row r="54" spans="2:37" ht="4.5" customHeight="1" thickBot="1">
      <c r="B54" s="2052"/>
      <c r="C54" s="2053"/>
      <c r="D54" s="2053"/>
      <c r="E54" s="2053"/>
      <c r="F54" s="2054"/>
      <c r="G54" s="293"/>
      <c r="H54" s="371"/>
      <c r="I54" s="371"/>
      <c r="J54" s="371"/>
      <c r="K54" s="371"/>
      <c r="L54" s="371"/>
      <c r="M54" s="371"/>
      <c r="N54" s="309"/>
      <c r="O54" s="2117"/>
      <c r="P54" s="2106"/>
      <c r="Q54" s="2107"/>
      <c r="R54" s="2107"/>
      <c r="S54" s="2107"/>
      <c r="T54" s="2107"/>
      <c r="U54" s="2107"/>
      <c r="V54" s="2107"/>
      <c r="W54" s="2108"/>
      <c r="X54" s="409"/>
      <c r="Y54" s="409"/>
      <c r="Z54" s="409" t="s">
        <v>933</v>
      </c>
      <c r="AA54" s="285"/>
      <c r="AG54" s="286"/>
      <c r="AH54" s="286"/>
      <c r="AI54" s="286"/>
      <c r="AJ54" s="286"/>
      <c r="AK54" s="286"/>
    </row>
    <row r="55" spans="2:37" ht="4.5" customHeight="1" thickTop="1">
      <c r="B55" s="2052"/>
      <c r="C55" s="2053"/>
      <c r="D55" s="2053"/>
      <c r="E55" s="2053"/>
      <c r="F55" s="2054"/>
      <c r="G55" s="293"/>
      <c r="H55" s="294"/>
      <c r="I55" s="294"/>
      <c r="J55" s="294"/>
      <c r="K55" s="294"/>
      <c r="L55" s="294"/>
      <c r="M55" s="294"/>
      <c r="N55" s="309"/>
      <c r="O55" s="2117"/>
      <c r="P55" s="2106"/>
      <c r="Q55" s="2107"/>
      <c r="R55" s="2107"/>
      <c r="S55" s="2107"/>
      <c r="T55" s="2107"/>
      <c r="U55" s="2107"/>
      <c r="V55" s="2107"/>
      <c r="W55" s="2108"/>
      <c r="X55" s="409"/>
      <c r="Y55" s="409"/>
      <c r="Z55" s="409"/>
      <c r="AA55" s="285"/>
      <c r="AG55" s="286"/>
      <c r="AH55" s="286"/>
      <c r="AI55" s="286"/>
      <c r="AJ55" s="286"/>
      <c r="AK55" s="286"/>
    </row>
    <row r="56" spans="2:37" ht="14.25" customHeight="1">
      <c r="B56" s="2055"/>
      <c r="C56" s="2056"/>
      <c r="D56" s="2056"/>
      <c r="E56" s="2056"/>
      <c r="F56" s="2057"/>
      <c r="G56" s="1158"/>
      <c r="H56" s="305"/>
      <c r="I56" s="2100" t="s">
        <v>869</v>
      </c>
      <c r="J56" s="2100"/>
      <c r="K56" s="2100"/>
      <c r="L56" s="2258">
        <f>'A(2)-Uses Statement'!$M$62</f>
        <v>0</v>
      </c>
      <c r="M56" s="2260"/>
      <c r="N56" s="294"/>
      <c r="O56" s="2117"/>
      <c r="P56" s="2106"/>
      <c r="Q56" s="2107"/>
      <c r="R56" s="2107"/>
      <c r="S56" s="2107"/>
      <c r="T56" s="2107"/>
      <c r="U56" s="2107"/>
      <c r="V56" s="2107"/>
      <c r="W56" s="2108"/>
      <c r="X56" s="409"/>
      <c r="Y56" s="409"/>
      <c r="Z56" s="409"/>
      <c r="AA56" s="285"/>
      <c r="AC56" s="306" t="s">
        <v>717</v>
      </c>
      <c r="AE56" s="286">
        <f>COUNTIFS('A(1)-Sources Stmt.'!G34:G49,"Tax Credit")</f>
        <v>0</v>
      </c>
      <c r="AF56" s="286">
        <f>IF(AE56&gt;0,1,0)</f>
        <v>0</v>
      </c>
      <c r="AG56" s="286">
        <f>COUNTIF(L60,"&gt;=.15")</f>
        <v>0</v>
      </c>
      <c r="AH56" s="286">
        <f>SUM(AF56:AG56)</f>
        <v>0</v>
      </c>
      <c r="AI56" s="286" t="str">
        <f>IF(AH56=2,"Please Explain","OK")</f>
        <v>OK</v>
      </c>
      <c r="AJ56" s="286"/>
      <c r="AK56" s="286"/>
    </row>
    <row r="57" spans="2:37" ht="10.5" customHeight="1">
      <c r="B57" s="2055"/>
      <c r="C57" s="2056"/>
      <c r="D57" s="2056"/>
      <c r="E57" s="2056"/>
      <c r="F57" s="2057"/>
      <c r="G57" s="1145"/>
      <c r="H57" s="295"/>
      <c r="I57" s="295"/>
      <c r="J57" s="307"/>
      <c r="K57" s="305"/>
      <c r="L57" s="2103" t="s">
        <v>131</v>
      </c>
      <c r="M57" s="2103"/>
      <c r="N57" s="308"/>
      <c r="O57" s="2117"/>
      <c r="P57" s="2106"/>
      <c r="Q57" s="2107"/>
      <c r="R57" s="2107"/>
      <c r="S57" s="2107"/>
      <c r="T57" s="2107"/>
      <c r="U57" s="2107"/>
      <c r="V57" s="2107"/>
      <c r="W57" s="2108"/>
      <c r="X57" s="409"/>
      <c r="Y57" s="409"/>
      <c r="Z57" s="409"/>
      <c r="AA57" s="285"/>
      <c r="AG57" s="286">
        <f>COUNTIF(L60,"&gt;=.1")</f>
        <v>0</v>
      </c>
      <c r="AH57" s="286"/>
      <c r="AI57" s="286" t="str">
        <f>IF(AG57=1,"Please Explain","OK")</f>
        <v>OK</v>
      </c>
      <c r="AJ57" s="286"/>
      <c r="AK57" s="286"/>
    </row>
    <row r="58" spans="2:37" ht="14.25" customHeight="1">
      <c r="B58" s="2055"/>
      <c r="C58" s="2056"/>
      <c r="D58" s="2056"/>
      <c r="E58" s="2056"/>
      <c r="F58" s="2057"/>
      <c r="G58" s="1158"/>
      <c r="H58" s="2100" t="s">
        <v>868</v>
      </c>
      <c r="I58" s="2100"/>
      <c r="J58" s="2100"/>
      <c r="K58" s="2100"/>
      <c r="L58" s="2258">
        <f>'A(2)-Uses Statement'!M81-L56</f>
        <v>0</v>
      </c>
      <c r="M58" s="2260"/>
      <c r="N58" s="309"/>
      <c r="O58" s="2117"/>
      <c r="P58" s="2106"/>
      <c r="Q58" s="2107"/>
      <c r="R58" s="2107"/>
      <c r="S58" s="2107"/>
      <c r="T58" s="2107"/>
      <c r="U58" s="2107"/>
      <c r="V58" s="2107"/>
      <c r="W58" s="2108"/>
      <c r="X58" s="409"/>
      <c r="Y58" s="409"/>
      <c r="Z58" s="848">
        <f>COUNTA('A(1)-Sources Stmt.'!G35:G49)</f>
        <v>0</v>
      </c>
      <c r="AA58" s="285"/>
      <c r="AG58" s="286"/>
      <c r="AH58" s="286"/>
      <c r="AI58" s="286"/>
      <c r="AJ58" s="286"/>
      <c r="AK58" s="286"/>
    </row>
    <row r="59" spans="2:37" ht="10.5" customHeight="1">
      <c r="B59" s="2055"/>
      <c r="C59" s="2056"/>
      <c r="D59" s="2056"/>
      <c r="E59" s="2056"/>
      <c r="F59" s="2057"/>
      <c r="G59" s="1144"/>
      <c r="H59" s="298"/>
      <c r="I59" s="298"/>
      <c r="J59" s="310"/>
      <c r="K59" s="305"/>
      <c r="L59" s="2143" t="s">
        <v>133</v>
      </c>
      <c r="M59" s="2143"/>
      <c r="N59" s="309"/>
      <c r="O59" s="2117"/>
      <c r="P59" s="2106"/>
      <c r="Q59" s="2107"/>
      <c r="R59" s="2107"/>
      <c r="S59" s="2107"/>
      <c r="T59" s="2107"/>
      <c r="U59" s="2107"/>
      <c r="V59" s="2107"/>
      <c r="W59" s="2108"/>
      <c r="X59" s="409"/>
      <c r="Y59" s="409"/>
      <c r="Z59" s="409"/>
      <c r="AA59" s="285"/>
      <c r="AC59" s="286">
        <f>IF(O52="Please Explain",1,0)</f>
        <v>0</v>
      </c>
      <c r="AD59" s="286">
        <f>IF(P54="",1,0)</f>
        <v>1</v>
      </c>
      <c r="AG59" s="286"/>
      <c r="AH59" s="286"/>
      <c r="AI59" s="286"/>
      <c r="AJ59" s="286"/>
      <c r="AK59" s="286"/>
    </row>
    <row r="60" spans="2:37" ht="14.25" customHeight="1">
      <c r="B60" s="2055"/>
      <c r="C60" s="2056"/>
      <c r="D60" s="2056"/>
      <c r="E60" s="2056"/>
      <c r="F60" s="2057"/>
      <c r="G60" s="1159"/>
      <c r="H60" s="2076"/>
      <c r="I60" s="2076"/>
      <c r="J60" s="2076"/>
      <c r="K60" s="294"/>
      <c r="L60" s="2104" t="str">
        <f>IFERROR(ROUND(L56/L58,4),"")</f>
        <v/>
      </c>
      <c r="M60" s="2105"/>
      <c r="N60" s="309"/>
      <c r="O60" s="2117"/>
      <c r="P60" s="2106"/>
      <c r="Q60" s="2107"/>
      <c r="R60" s="2107"/>
      <c r="S60" s="2107"/>
      <c r="T60" s="2107"/>
      <c r="U60" s="2107"/>
      <c r="V60" s="2107"/>
      <c r="W60" s="2108"/>
      <c r="X60" s="409"/>
      <c r="Y60" s="409"/>
      <c r="Z60" s="409"/>
      <c r="AA60" s="285"/>
      <c r="AG60" s="286"/>
      <c r="AH60" s="286"/>
      <c r="AI60" s="286"/>
      <c r="AJ60" s="286"/>
      <c r="AK60" s="286"/>
    </row>
    <row r="61" spans="2:37" ht="6.75" customHeight="1">
      <c r="B61" s="2058"/>
      <c r="C61" s="2059"/>
      <c r="D61" s="2059"/>
      <c r="E61" s="2059"/>
      <c r="F61" s="2060"/>
      <c r="G61" s="1169"/>
      <c r="H61" s="302"/>
      <c r="I61" s="302"/>
      <c r="J61" s="302"/>
      <c r="K61" s="302"/>
      <c r="L61" s="302"/>
      <c r="M61" s="302"/>
      <c r="N61" s="311"/>
      <c r="O61" s="2118"/>
      <c r="P61" s="2109"/>
      <c r="Q61" s="2110"/>
      <c r="R61" s="2110"/>
      <c r="S61" s="2110"/>
      <c r="T61" s="2110"/>
      <c r="U61" s="2110"/>
      <c r="V61" s="2110"/>
      <c r="W61" s="2111"/>
      <c r="X61" s="409"/>
      <c r="Y61" s="409"/>
      <c r="Z61" s="409"/>
      <c r="AA61" s="285"/>
      <c r="AG61" s="286"/>
      <c r="AH61" s="286"/>
      <c r="AI61" s="286"/>
      <c r="AJ61" s="286"/>
      <c r="AK61" s="286"/>
    </row>
    <row r="62" spans="2:37" s="1110" customFormat="1" ht="4.5" customHeight="1">
      <c r="B62" s="1111"/>
      <c r="C62" s="1111"/>
      <c r="D62" s="1111"/>
      <c r="E62" s="1112"/>
      <c r="F62" s="1113"/>
      <c r="G62" s="1113"/>
      <c r="H62" s="1113"/>
      <c r="I62" s="1113"/>
      <c r="J62" s="1113"/>
      <c r="K62" s="1114"/>
      <c r="L62" s="1115"/>
      <c r="M62" s="1115"/>
      <c r="N62" s="1115"/>
      <c r="O62" s="1115"/>
      <c r="P62" s="1115"/>
      <c r="Q62" s="1115"/>
      <c r="R62" s="1115"/>
      <c r="S62" s="1115"/>
      <c r="U62" s="1116"/>
    </row>
    <row r="63" spans="2:37" s="1110" customFormat="1" ht="15" customHeight="1">
      <c r="B63" s="2122" t="s">
        <v>1049</v>
      </c>
      <c r="C63" s="2123"/>
      <c r="D63" s="2123"/>
      <c r="E63" s="2123"/>
      <c r="F63" s="2124"/>
      <c r="G63" s="1161"/>
      <c r="H63" s="1162"/>
      <c r="I63" s="1162"/>
      <c r="J63" s="1162"/>
      <c r="K63" s="1162"/>
      <c r="L63" s="1162"/>
      <c r="M63" s="1162"/>
      <c r="N63" s="1117"/>
      <c r="O63" s="2145"/>
      <c r="P63" s="2119" t="str">
        <f>IF(Z64&gt;0,"Indicate the funding source for each reserve:","")</f>
        <v/>
      </c>
      <c r="Q63" s="2120"/>
      <c r="R63" s="2120"/>
      <c r="S63" s="2120"/>
      <c r="T63" s="2120"/>
      <c r="U63" s="2120"/>
      <c r="V63" s="2120"/>
      <c r="W63" s="2121"/>
      <c r="AD63" s="1110" t="s">
        <v>720</v>
      </c>
    </row>
    <row r="64" spans="2:37" s="1110" customFormat="1" ht="14.25" customHeight="1">
      <c r="B64" s="2125"/>
      <c r="C64" s="2126"/>
      <c r="D64" s="2126"/>
      <c r="E64" s="2126"/>
      <c r="F64" s="2127"/>
      <c r="G64" s="1163"/>
      <c r="H64" s="1123"/>
      <c r="I64" s="2299" t="s">
        <v>1043</v>
      </c>
      <c r="J64" s="2299"/>
      <c r="K64" s="2300"/>
      <c r="L64" s="2101">
        <f>'A(2)-Uses Statement'!$M$66</f>
        <v>0</v>
      </c>
      <c r="M64" s="2102"/>
      <c r="N64" s="1118"/>
      <c r="O64" s="2146"/>
      <c r="P64" s="2114" t="str">
        <f>IF(L64&gt;0,"Operating:","")</f>
        <v/>
      </c>
      <c r="Q64" s="2115"/>
      <c r="R64" s="2142"/>
      <c r="S64" s="2142"/>
      <c r="T64" s="2142"/>
      <c r="U64" s="2142"/>
      <c r="V64" s="2142"/>
      <c r="W64" s="1119"/>
      <c r="Z64" s="1110">
        <f>COUNTIF(L64:M70,"&gt;"&amp;0)</f>
        <v>0</v>
      </c>
      <c r="AB64" s="1110">
        <f>IF(AND(L64&gt;0,R64=""),1,0)</f>
        <v>0</v>
      </c>
      <c r="AD64" s="1110" t="s">
        <v>114</v>
      </c>
    </row>
    <row r="65" spans="2:43" s="1110" customFormat="1" ht="13.5" customHeight="1">
      <c r="B65" s="2125"/>
      <c r="C65" s="2126"/>
      <c r="D65" s="2126"/>
      <c r="E65" s="2126"/>
      <c r="F65" s="2127"/>
      <c r="G65" s="1163"/>
      <c r="H65" s="1123"/>
      <c r="I65" s="1123"/>
      <c r="J65" s="1123"/>
      <c r="K65" s="1123"/>
      <c r="L65" s="1123"/>
      <c r="M65" s="1123"/>
      <c r="N65" s="1118"/>
      <c r="O65" s="2146"/>
      <c r="P65" s="1125"/>
      <c r="Q65" s="1124"/>
      <c r="R65" s="2142"/>
      <c r="S65" s="2142"/>
      <c r="T65" s="2142"/>
      <c r="U65" s="2142"/>
      <c r="V65" s="2142"/>
      <c r="W65" s="1119"/>
      <c r="AD65" s="1110" t="s">
        <v>115</v>
      </c>
    </row>
    <row r="66" spans="2:43" s="1110" customFormat="1" ht="4.5" customHeight="1">
      <c r="B66" s="2125"/>
      <c r="C66" s="2126"/>
      <c r="D66" s="2126"/>
      <c r="E66" s="2126"/>
      <c r="F66" s="2127"/>
      <c r="G66" s="1163"/>
      <c r="H66" s="1123"/>
      <c r="I66" s="1123"/>
      <c r="J66" s="1123"/>
      <c r="K66" s="1123"/>
      <c r="L66" s="1123"/>
      <c r="M66" s="1123"/>
      <c r="N66" s="1118"/>
      <c r="O66" s="2146"/>
      <c r="P66" s="1125"/>
      <c r="Q66" s="1124"/>
      <c r="R66" s="1264"/>
      <c r="S66" s="1264"/>
      <c r="T66" s="1264"/>
      <c r="U66" s="1264"/>
      <c r="V66" s="1264"/>
      <c r="W66" s="1119"/>
    </row>
    <row r="67" spans="2:43" s="1110" customFormat="1" ht="14.25" customHeight="1">
      <c r="B67" s="2125"/>
      <c r="C67" s="2126"/>
      <c r="D67" s="2126"/>
      <c r="E67" s="2126"/>
      <c r="F67" s="2127"/>
      <c r="G67" s="1163"/>
      <c r="H67" s="1123"/>
      <c r="I67" s="2299" t="s">
        <v>1044</v>
      </c>
      <c r="J67" s="2299"/>
      <c r="K67" s="2300"/>
      <c r="L67" s="2101">
        <f>'A(2)-Uses Statement'!$M$67</f>
        <v>0</v>
      </c>
      <c r="M67" s="2102"/>
      <c r="N67" s="1118"/>
      <c r="O67" s="2146"/>
      <c r="P67" s="2114" t="str">
        <f>IF(L67&gt;0,"Replacement:","")</f>
        <v/>
      </c>
      <c r="Q67" s="2115"/>
      <c r="R67" s="2142"/>
      <c r="S67" s="2142"/>
      <c r="T67" s="2142"/>
      <c r="U67" s="2142"/>
      <c r="V67" s="2142"/>
      <c r="W67" s="1119"/>
      <c r="AB67" s="1110">
        <f>IF(AND(L67&gt;0,R67=""),1,0)</f>
        <v>0</v>
      </c>
    </row>
    <row r="68" spans="2:43" s="1110" customFormat="1" ht="13.5" customHeight="1">
      <c r="B68" s="2125"/>
      <c r="C68" s="2126"/>
      <c r="D68" s="2126"/>
      <c r="E68" s="2126"/>
      <c r="F68" s="2127"/>
      <c r="G68" s="1163"/>
      <c r="H68" s="1123"/>
      <c r="I68" s="1123"/>
      <c r="J68" s="1123"/>
      <c r="K68" s="1123"/>
      <c r="L68" s="1123"/>
      <c r="M68" s="1123"/>
      <c r="N68" s="1118"/>
      <c r="O68" s="2146"/>
      <c r="P68" s="1125"/>
      <c r="Q68" s="1124"/>
      <c r="R68" s="2142"/>
      <c r="S68" s="2142"/>
      <c r="T68" s="2142"/>
      <c r="U68" s="2142"/>
      <c r="V68" s="2142"/>
      <c r="W68" s="1119"/>
    </row>
    <row r="69" spans="2:43" s="1110" customFormat="1" ht="4.5" customHeight="1">
      <c r="B69" s="2125"/>
      <c r="C69" s="2126"/>
      <c r="D69" s="2126"/>
      <c r="E69" s="2126"/>
      <c r="F69" s="2127"/>
      <c r="G69" s="1163"/>
      <c r="H69" s="1123"/>
      <c r="I69" s="1123"/>
      <c r="J69" s="1123"/>
      <c r="K69" s="1123"/>
      <c r="L69" s="1123"/>
      <c r="M69" s="1123"/>
      <c r="N69" s="1118"/>
      <c r="O69" s="2146"/>
      <c r="P69" s="1125"/>
      <c r="Q69" s="1124"/>
      <c r="R69" s="1264"/>
      <c r="S69" s="1264"/>
      <c r="T69" s="1264"/>
      <c r="U69" s="1264"/>
      <c r="V69" s="1264"/>
      <c r="W69" s="1119"/>
    </row>
    <row r="70" spans="2:43" s="1110" customFormat="1" ht="14.25" customHeight="1">
      <c r="B70" s="2125"/>
      <c r="C70" s="2126"/>
      <c r="D70" s="2126"/>
      <c r="E70" s="2126"/>
      <c r="F70" s="2127"/>
      <c r="G70" s="1163"/>
      <c r="H70" s="1123"/>
      <c r="I70" s="2299" t="s">
        <v>1045</v>
      </c>
      <c r="J70" s="2299"/>
      <c r="K70" s="2300"/>
      <c r="L70" s="2101">
        <f>'A(2)-Uses Statement'!$M$68</f>
        <v>0</v>
      </c>
      <c r="M70" s="2102"/>
      <c r="N70" s="1118"/>
      <c r="O70" s="2146"/>
      <c r="P70" s="2114" t="str">
        <f>IF(L70&gt;0,"Lease-up:","")</f>
        <v/>
      </c>
      <c r="Q70" s="2115"/>
      <c r="R70" s="2142"/>
      <c r="S70" s="2142"/>
      <c r="T70" s="2142"/>
      <c r="U70" s="2142"/>
      <c r="V70" s="2142"/>
      <c r="W70" s="1119"/>
      <c r="AB70" s="1110">
        <f>IF(AND(L70&gt;0,R70=""),1,0)</f>
        <v>0</v>
      </c>
    </row>
    <row r="71" spans="2:43" s="1110" customFormat="1" ht="13.5" customHeight="1">
      <c r="B71" s="2125"/>
      <c r="C71" s="2126"/>
      <c r="D71" s="2126"/>
      <c r="E71" s="2126"/>
      <c r="F71" s="2127"/>
      <c r="G71" s="1163"/>
      <c r="H71" s="1123"/>
      <c r="I71" s="1127"/>
      <c r="J71" s="1127"/>
      <c r="K71" s="1127"/>
      <c r="L71" s="1127"/>
      <c r="M71" s="1123"/>
      <c r="N71" s="1118"/>
      <c r="O71" s="2146"/>
      <c r="P71" s="1125"/>
      <c r="Q71" s="1128"/>
      <c r="R71" s="2142"/>
      <c r="S71" s="2142"/>
      <c r="T71" s="2142"/>
      <c r="U71" s="2142"/>
      <c r="V71" s="2142"/>
      <c r="W71" s="1119"/>
    </row>
    <row r="72" spans="2:43" s="1110" customFormat="1" ht="6" customHeight="1">
      <c r="B72" s="2128"/>
      <c r="C72" s="2129"/>
      <c r="D72" s="2129"/>
      <c r="E72" s="2129"/>
      <c r="F72" s="2130"/>
      <c r="G72" s="1164"/>
      <c r="H72" s="1165"/>
      <c r="I72" s="1165"/>
      <c r="J72" s="1165"/>
      <c r="K72" s="1165"/>
      <c r="L72" s="1165"/>
      <c r="M72" s="1165"/>
      <c r="N72" s="1120"/>
      <c r="O72" s="2147"/>
      <c r="P72" s="1126"/>
      <c r="Q72" s="1121"/>
      <c r="R72" s="1121"/>
      <c r="S72" s="1121"/>
      <c r="T72" s="1121"/>
      <c r="U72" s="1121"/>
      <c r="V72" s="1121"/>
      <c r="W72" s="1122"/>
    </row>
    <row r="73" spans="2:43" s="15" customFormat="1" ht="4.5" customHeight="1">
      <c r="B73" s="312"/>
      <c r="C73" s="312"/>
      <c r="D73" s="312"/>
      <c r="E73" s="312"/>
      <c r="F73" s="312"/>
      <c r="G73" s="312"/>
      <c r="H73" s="312"/>
      <c r="I73" s="312"/>
      <c r="J73" s="312"/>
      <c r="K73" s="312"/>
      <c r="L73" s="312"/>
      <c r="M73" s="312"/>
      <c r="N73" s="312"/>
      <c r="O73" s="312"/>
      <c r="P73" s="312"/>
      <c r="Q73" s="312"/>
      <c r="R73" s="312"/>
      <c r="S73" s="312"/>
      <c r="T73" s="312"/>
      <c r="U73" s="312"/>
      <c r="V73" s="312"/>
      <c r="W73" s="312"/>
      <c r="X73" s="312"/>
      <c r="Y73" s="312"/>
      <c r="Z73" s="312"/>
      <c r="AB73" s="124"/>
      <c r="AC73" s="124"/>
      <c r="AD73" s="124"/>
      <c r="AE73" s="124"/>
      <c r="AF73" s="124"/>
      <c r="AG73" s="124"/>
      <c r="AH73" s="124"/>
      <c r="AI73" s="124"/>
      <c r="AJ73" s="124"/>
      <c r="AK73" s="124"/>
    </row>
    <row r="74" spans="2:43" ht="13.5" customHeight="1">
      <c r="B74" s="2175" t="s">
        <v>1046</v>
      </c>
      <c r="C74" s="2176"/>
      <c r="D74" s="2176"/>
      <c r="E74" s="2176"/>
      <c r="F74" s="2176"/>
      <c r="G74" s="318"/>
      <c r="H74" s="300"/>
      <c r="I74" s="300"/>
      <c r="J74" s="300"/>
      <c r="K74" s="300"/>
      <c r="L74" s="300"/>
      <c r="M74" s="300"/>
      <c r="N74" s="300"/>
      <c r="O74" s="2246" t="str">
        <f>IFERROR(IF(AND(Z34="Rental",L75+L86=0)," ",IF(AND(Z34="Rental",L75&gt;L86),"Please Explain",IF(AND(Z34="Rental",L75&lt;L86),"OK",IF(AND(L75="",L86="",Z34="Owner-occupied"),"N/A for Owner-occupied Projects","")))),"N/A for Owner-occupied Projects")</f>
        <v xml:space="preserve"> </v>
      </c>
      <c r="P74" s="2149" t="str">
        <f>IF(L75&gt;L86,"Please explain why Capitalized Operating Reserves Exceed 12 months of operating expenses and hard debt service:"," ")</f>
        <v xml:space="preserve"> </v>
      </c>
      <c r="Q74" s="2150"/>
      <c r="R74" s="2150"/>
      <c r="S74" s="2150"/>
      <c r="T74" s="2150"/>
      <c r="U74" s="2150"/>
      <c r="V74" s="2150"/>
      <c r="W74" s="2151"/>
      <c r="X74" s="408"/>
      <c r="Y74" s="408"/>
      <c r="Z74" s="408"/>
      <c r="AA74" s="285"/>
      <c r="AG74" s="286"/>
      <c r="AH74" s="286"/>
      <c r="AI74" s="286"/>
      <c r="AJ74" s="286"/>
      <c r="AK74" s="286"/>
    </row>
    <row r="75" spans="2:43" ht="14.25" customHeight="1">
      <c r="B75" s="2177"/>
      <c r="C75" s="2178"/>
      <c r="D75" s="2178"/>
      <c r="E75" s="2178"/>
      <c r="F75" s="2178"/>
      <c r="G75" s="1144"/>
      <c r="H75" s="2076" t="str">
        <f>IF(Z34&lt;&gt;"Owner-occupied","Capitalized Operating Reserves:","")</f>
        <v>Capitalized Operating Reserves:</v>
      </c>
      <c r="I75" s="2076"/>
      <c r="J75" s="2076"/>
      <c r="K75" s="2076"/>
      <c r="L75" s="2266">
        <f>IF(Z34&lt;&gt;"Owner-occupied",IF('A(2)-Uses Statement'!$M$66&lt;&gt;"",'A(2)-Uses Statement'!$M$66,""),"")</f>
        <v>0</v>
      </c>
      <c r="M75" s="2267"/>
      <c r="N75" s="313"/>
      <c r="O75" s="2247"/>
      <c r="P75" s="2152"/>
      <c r="Q75" s="2153"/>
      <c r="R75" s="2153"/>
      <c r="S75" s="2153"/>
      <c r="T75" s="2153"/>
      <c r="U75" s="2153"/>
      <c r="V75" s="2153"/>
      <c r="W75" s="2154"/>
      <c r="X75" s="408"/>
      <c r="Y75" s="408"/>
      <c r="Z75" s="408"/>
      <c r="AA75" s="285"/>
      <c r="AG75" s="286"/>
      <c r="AH75" s="286"/>
      <c r="AI75" s="286"/>
      <c r="AJ75" s="286"/>
      <c r="AK75" s="286"/>
    </row>
    <row r="76" spans="2:43" ht="7.5" customHeight="1" thickBot="1">
      <c r="B76" s="2177"/>
      <c r="C76" s="2178"/>
      <c r="D76" s="2178"/>
      <c r="E76" s="2178"/>
      <c r="F76" s="2178"/>
      <c r="G76" s="1144"/>
      <c r="H76" s="298"/>
      <c r="I76" s="298"/>
      <c r="J76" s="298"/>
      <c r="K76" s="298"/>
      <c r="L76" s="2293"/>
      <c r="M76" s="2293"/>
      <c r="N76" s="313"/>
      <c r="O76" s="2247"/>
      <c r="P76" s="2152"/>
      <c r="Q76" s="2153"/>
      <c r="R76" s="2153"/>
      <c r="S76" s="2153"/>
      <c r="T76" s="2153"/>
      <c r="U76" s="2153"/>
      <c r="V76" s="2153"/>
      <c r="W76" s="2154"/>
      <c r="X76" s="408"/>
      <c r="Y76" s="408"/>
      <c r="Z76" s="408"/>
      <c r="AA76" s="285"/>
      <c r="AG76" s="286"/>
      <c r="AH76" s="124"/>
      <c r="AI76" s="124"/>
      <c r="AJ76" s="124"/>
      <c r="AK76" s="124"/>
      <c r="AL76" s="15"/>
      <c r="AM76" s="15"/>
      <c r="AN76" s="15"/>
      <c r="AO76" s="15"/>
      <c r="AP76" s="15"/>
      <c r="AQ76" s="15"/>
    </row>
    <row r="77" spans="2:43" ht="7.5" customHeight="1" thickTop="1">
      <c r="B77" s="2177"/>
      <c r="C77" s="2178"/>
      <c r="D77" s="2178"/>
      <c r="E77" s="2178"/>
      <c r="F77" s="2178"/>
      <c r="G77" s="1144"/>
      <c r="H77" s="1156"/>
      <c r="I77" s="1156"/>
      <c r="J77" s="1156"/>
      <c r="K77" s="1156"/>
      <c r="L77" s="314"/>
      <c r="M77" s="314"/>
      <c r="N77" s="313"/>
      <c r="O77" s="2247"/>
      <c r="P77" s="2152"/>
      <c r="Q77" s="2153"/>
      <c r="R77" s="2153"/>
      <c r="S77" s="2153"/>
      <c r="T77" s="2153"/>
      <c r="U77" s="2153"/>
      <c r="V77" s="2153"/>
      <c r="W77" s="2154"/>
      <c r="X77" s="408"/>
      <c r="Y77" s="408"/>
      <c r="Z77" s="408"/>
      <c r="AA77" s="285"/>
      <c r="AG77" s="286"/>
      <c r="AH77" s="124"/>
      <c r="AI77" s="124"/>
      <c r="AJ77" s="124"/>
      <c r="AK77" s="124"/>
      <c r="AL77" s="15"/>
      <c r="AM77" s="15"/>
      <c r="AN77" s="15"/>
      <c r="AO77" s="15"/>
      <c r="AP77" s="15"/>
      <c r="AQ77" s="15"/>
    </row>
    <row r="78" spans="2:43" ht="14.25" customHeight="1">
      <c r="B78" s="2177"/>
      <c r="C78" s="2178"/>
      <c r="D78" s="2178"/>
      <c r="E78" s="2178"/>
      <c r="F78" s="2178"/>
      <c r="G78" s="1145"/>
      <c r="H78" s="2100" t="str">
        <f>IF(Z34&lt;&gt;"Owner-occupied","Total 12 Month Operating Expenses:","")</f>
        <v>Total 12 Month Operating Expenses:</v>
      </c>
      <c r="I78" s="2100"/>
      <c r="J78" s="2100"/>
      <c r="K78" s="2100"/>
      <c r="L78" s="2101">
        <f>IF(Z34&lt;&gt;"Owner-occupied",'C(1)-Rental Operating ProForma'!K42,"")</f>
        <v>0</v>
      </c>
      <c r="M78" s="2102"/>
      <c r="N78" s="313"/>
      <c r="O78" s="2247"/>
      <c r="P78" s="2106"/>
      <c r="Q78" s="2107"/>
      <c r="R78" s="2107"/>
      <c r="S78" s="2107"/>
      <c r="T78" s="2107"/>
      <c r="U78" s="2107"/>
      <c r="V78" s="2107"/>
      <c r="W78" s="2108"/>
      <c r="X78" s="409"/>
      <c r="Y78" s="409"/>
      <c r="Z78" s="409"/>
      <c r="AA78" s="285"/>
      <c r="AC78" s="286">
        <f>IF(O74="Please Explain",1,0)</f>
        <v>0</v>
      </c>
      <c r="AD78" s="286">
        <f>IF(P78="",1,0)</f>
        <v>1</v>
      </c>
      <c r="AG78" s="124"/>
      <c r="AH78" s="124"/>
      <c r="AI78" s="124"/>
      <c r="AJ78" s="124"/>
      <c r="AK78" s="124"/>
      <c r="AL78" s="15"/>
      <c r="AM78" s="15"/>
      <c r="AN78" s="15"/>
      <c r="AO78" s="15"/>
      <c r="AP78" s="15"/>
      <c r="AQ78" s="15"/>
    </row>
    <row r="79" spans="2:43" ht="9.75" customHeight="1">
      <c r="B79" s="2177"/>
      <c r="C79" s="2178"/>
      <c r="D79" s="2178"/>
      <c r="E79" s="2178"/>
      <c r="F79" s="2178"/>
      <c r="G79" s="1145"/>
      <c r="H79" s="295"/>
      <c r="I79" s="295"/>
      <c r="J79" s="1157"/>
      <c r="K79" s="1157"/>
      <c r="L79" s="2103" t="str">
        <f>IF(Z34&lt;&gt;"Owner-occupied","-","")</f>
        <v>-</v>
      </c>
      <c r="M79" s="2103"/>
      <c r="N79" s="313"/>
      <c r="O79" s="2247"/>
      <c r="P79" s="2106"/>
      <c r="Q79" s="2107"/>
      <c r="R79" s="2107"/>
      <c r="S79" s="2107"/>
      <c r="T79" s="2107"/>
      <c r="U79" s="2107"/>
      <c r="V79" s="2107"/>
      <c r="W79" s="2108"/>
      <c r="X79" s="409"/>
      <c r="Y79" s="409"/>
      <c r="Z79" s="409"/>
      <c r="AA79" s="285"/>
      <c r="AG79" s="124"/>
      <c r="AH79" s="124"/>
      <c r="AI79" s="124"/>
      <c r="AJ79" s="124"/>
      <c r="AK79" s="124"/>
      <c r="AL79" s="15"/>
      <c r="AM79" s="15"/>
      <c r="AN79" s="15"/>
      <c r="AO79" s="15"/>
      <c r="AP79" s="15"/>
      <c r="AQ79" s="15"/>
    </row>
    <row r="80" spans="2:43" ht="14.25" customHeight="1">
      <c r="B80" s="2177"/>
      <c r="C80" s="2178"/>
      <c r="D80" s="2178"/>
      <c r="E80" s="2178"/>
      <c r="F80" s="2178"/>
      <c r="G80" s="1158"/>
      <c r="H80" s="2100" t="str">
        <f>IF(Z34&lt;&gt;"Owner-occupied","12 Month Replacement Reserves:","")</f>
        <v>12 Month Replacement Reserves:</v>
      </c>
      <c r="I80" s="2100"/>
      <c r="J80" s="2100"/>
      <c r="K80" s="2100"/>
      <c r="L80" s="2101">
        <f>IF(Z34&lt;&gt;"Owner-occupied",'C(1)-Rental Operating ProForma'!K36,"")</f>
        <v>0</v>
      </c>
      <c r="M80" s="2102"/>
      <c r="N80" s="313"/>
      <c r="O80" s="2247"/>
      <c r="P80" s="2106"/>
      <c r="Q80" s="2107"/>
      <c r="R80" s="2107"/>
      <c r="S80" s="2107"/>
      <c r="T80" s="2107"/>
      <c r="U80" s="2107"/>
      <c r="V80" s="2107"/>
      <c r="W80" s="2108"/>
      <c r="X80" s="409"/>
      <c r="Y80" s="409"/>
      <c r="Z80" s="409"/>
      <c r="AA80" s="285"/>
      <c r="AG80" s="124"/>
      <c r="AH80" s="124"/>
      <c r="AI80" s="124"/>
      <c r="AJ80" s="124"/>
      <c r="AK80" s="124"/>
      <c r="AL80" s="15"/>
      <c r="AM80" s="15"/>
      <c r="AN80" s="15"/>
      <c r="AO80" s="15"/>
      <c r="AP80" s="15"/>
      <c r="AQ80" s="15"/>
    </row>
    <row r="81" spans="2:43" ht="9.75" customHeight="1">
      <c r="B81" s="2177"/>
      <c r="C81" s="2178"/>
      <c r="D81" s="2178"/>
      <c r="E81" s="2178"/>
      <c r="F81" s="2178"/>
      <c r="G81" s="1145"/>
      <c r="H81" s="295"/>
      <c r="I81" s="295"/>
      <c r="J81" s="1157"/>
      <c r="K81" s="1157"/>
      <c r="L81" s="2103" t="str">
        <f>IF(Z34&lt;&gt;"Owner-occupied","-","")</f>
        <v>-</v>
      </c>
      <c r="M81" s="2103"/>
      <c r="N81" s="313"/>
      <c r="O81" s="2247"/>
      <c r="P81" s="2106"/>
      <c r="Q81" s="2107"/>
      <c r="R81" s="2107"/>
      <c r="S81" s="2107"/>
      <c r="T81" s="2107"/>
      <c r="U81" s="2107"/>
      <c r="V81" s="2107"/>
      <c r="W81" s="2108"/>
      <c r="X81" s="409"/>
      <c r="Y81" s="409"/>
      <c r="Z81" s="409"/>
      <c r="AA81" s="285"/>
      <c r="AG81" s="124"/>
      <c r="AH81" s="124"/>
      <c r="AI81" s="124"/>
      <c r="AJ81" s="124"/>
      <c r="AK81" s="124"/>
      <c r="AL81" s="15"/>
      <c r="AM81" s="15"/>
      <c r="AN81" s="15"/>
      <c r="AO81" s="15"/>
      <c r="AP81" s="15"/>
      <c r="AQ81" s="15"/>
    </row>
    <row r="82" spans="2:43" ht="14.25" customHeight="1">
      <c r="B82" s="2177"/>
      <c r="C82" s="2178"/>
      <c r="D82" s="2178"/>
      <c r="E82" s="2178"/>
      <c r="F82" s="2178"/>
      <c r="G82" s="1158"/>
      <c r="H82" s="2100" t="str">
        <f>IF(Z34&lt;&gt;"Owner-occupied","12 Month Operating Reserves:","")</f>
        <v>12 Month Operating Reserves:</v>
      </c>
      <c r="I82" s="2100"/>
      <c r="J82" s="2100"/>
      <c r="K82" s="2100"/>
      <c r="L82" s="2101">
        <f>IF(Z34&lt;&gt;"Owner-occupied",'C(1)-Rental Operating ProForma'!K37,"")</f>
        <v>0</v>
      </c>
      <c r="M82" s="2102"/>
      <c r="N82" s="313"/>
      <c r="O82" s="2247"/>
      <c r="P82" s="2106"/>
      <c r="Q82" s="2107"/>
      <c r="R82" s="2107"/>
      <c r="S82" s="2107"/>
      <c r="T82" s="2107"/>
      <c r="U82" s="2107"/>
      <c r="V82" s="2107"/>
      <c r="W82" s="2108"/>
      <c r="AG82" s="124"/>
      <c r="AH82" s="286"/>
      <c r="AI82" s="124"/>
      <c r="AJ82" s="124"/>
      <c r="AK82" s="124"/>
      <c r="AL82" s="15"/>
      <c r="AM82" s="15"/>
      <c r="AN82" s="15"/>
      <c r="AO82" s="15"/>
      <c r="AP82" s="15"/>
      <c r="AQ82" s="15"/>
    </row>
    <row r="83" spans="2:43" ht="9.75" customHeight="1">
      <c r="B83" s="2177"/>
      <c r="C83" s="2178"/>
      <c r="D83" s="2178"/>
      <c r="E83" s="2178"/>
      <c r="F83" s="2178"/>
      <c r="G83" s="1159"/>
      <c r="H83" s="305"/>
      <c r="I83" s="305"/>
      <c r="J83" s="298"/>
      <c r="K83" s="1157"/>
      <c r="L83" s="2143" t="str">
        <f>IF(Z34&lt;&gt;"Owner-occupied","+","")</f>
        <v>+</v>
      </c>
      <c r="M83" s="2144"/>
      <c r="N83" s="313"/>
      <c r="O83" s="2247"/>
      <c r="P83" s="2106"/>
      <c r="Q83" s="2107"/>
      <c r="R83" s="2107"/>
      <c r="S83" s="2107"/>
      <c r="T83" s="2107"/>
      <c r="U83" s="2107"/>
      <c r="V83" s="2107"/>
      <c r="W83" s="2108"/>
      <c r="X83" s="409"/>
      <c r="AG83" s="124"/>
      <c r="AH83" s="286"/>
      <c r="AI83" s="124"/>
      <c r="AJ83" s="124"/>
      <c r="AK83" s="124"/>
      <c r="AL83" s="15"/>
      <c r="AM83" s="15"/>
      <c r="AN83" s="15"/>
      <c r="AO83" s="15"/>
      <c r="AP83" s="15"/>
      <c r="AQ83" s="15"/>
    </row>
    <row r="84" spans="2:43" ht="14.25" customHeight="1">
      <c r="B84" s="2177"/>
      <c r="C84" s="2178"/>
      <c r="D84" s="2178"/>
      <c r="E84" s="2178"/>
      <c r="F84" s="2178"/>
      <c r="G84" s="1159"/>
      <c r="H84" s="2271" t="str">
        <f>IF(Z34&lt;&gt;"Owner-occupied","12 Month Debt Service:","")</f>
        <v>12 Month Debt Service:</v>
      </c>
      <c r="I84" s="2271"/>
      <c r="J84" s="2271"/>
      <c r="K84" s="2271"/>
      <c r="L84" s="2101">
        <f>IF(Z34&lt;&gt;"Owner-occupied",SUM('C(1)-Rental Operating ProForma'!K46:K50),"")</f>
        <v>0</v>
      </c>
      <c r="M84" s="2102"/>
      <c r="N84" s="313"/>
      <c r="O84" s="2247"/>
      <c r="P84" s="2106"/>
      <c r="Q84" s="2107"/>
      <c r="R84" s="2107"/>
      <c r="S84" s="2107"/>
      <c r="T84" s="2107"/>
      <c r="U84" s="2107"/>
      <c r="V84" s="2107"/>
      <c r="W84" s="2108"/>
      <c r="X84" s="409"/>
      <c r="Y84" s="409"/>
      <c r="Z84" s="409"/>
      <c r="AA84" s="285"/>
      <c r="AG84" s="124"/>
      <c r="AH84" s="286"/>
      <c r="AI84" s="124"/>
      <c r="AJ84" s="124"/>
      <c r="AK84" s="124"/>
      <c r="AL84" s="15"/>
      <c r="AM84" s="15"/>
      <c r="AN84" s="15"/>
      <c r="AO84" s="15"/>
      <c r="AP84" s="15"/>
      <c r="AQ84" s="15"/>
    </row>
    <row r="85" spans="2:43" ht="9.75" customHeight="1">
      <c r="B85" s="2177"/>
      <c r="C85" s="2178"/>
      <c r="D85" s="2178"/>
      <c r="E85" s="2178"/>
      <c r="F85" s="2178"/>
      <c r="G85" s="1159"/>
      <c r="H85" s="305"/>
      <c r="I85" s="305"/>
      <c r="J85" s="298"/>
      <c r="K85" s="1157"/>
      <c r="L85" s="2143" t="str">
        <f>IF(Z34&lt;&gt;"Owner-occupied","=","")</f>
        <v>=</v>
      </c>
      <c r="M85" s="2144"/>
      <c r="N85" s="313"/>
      <c r="O85" s="2247"/>
      <c r="P85" s="2106"/>
      <c r="Q85" s="2107"/>
      <c r="R85" s="2107"/>
      <c r="S85" s="2107"/>
      <c r="T85" s="2107"/>
      <c r="U85" s="2107"/>
      <c r="V85" s="2107"/>
      <c r="W85" s="2108"/>
      <c r="X85" s="409"/>
      <c r="Y85" s="409"/>
      <c r="Z85" s="409"/>
      <c r="AA85" s="285"/>
      <c r="AG85" s="124"/>
      <c r="AH85" s="286"/>
      <c r="AI85" s="124"/>
      <c r="AJ85" s="124"/>
      <c r="AK85" s="124"/>
      <c r="AL85" s="15"/>
      <c r="AM85" s="15"/>
      <c r="AN85" s="15"/>
      <c r="AO85" s="15"/>
      <c r="AP85" s="15"/>
      <c r="AQ85" s="15"/>
    </row>
    <row r="86" spans="2:43" ht="14.25" customHeight="1">
      <c r="B86" s="2177"/>
      <c r="C86" s="2178"/>
      <c r="D86" s="2178"/>
      <c r="E86" s="2178"/>
      <c r="F86" s="2178"/>
      <c r="G86" s="1159"/>
      <c r="H86" s="2076" t="str">
        <f>IF(Z34&lt;&gt;"Owner-occupied","Net 12 Month ProForma Total Operating Expenses:","")</f>
        <v>Net 12 Month ProForma Total Operating Expenses:</v>
      </c>
      <c r="I86" s="2076"/>
      <c r="J86" s="2076"/>
      <c r="K86" s="2076"/>
      <c r="L86" s="2266">
        <f>IF(Z34&lt;&gt;"Owner-occupied",L78-L80-L82+L84,"")</f>
        <v>0</v>
      </c>
      <c r="M86" s="2267"/>
      <c r="N86" s="313"/>
      <c r="O86" s="2247"/>
      <c r="P86" s="2106"/>
      <c r="Q86" s="2107"/>
      <c r="R86" s="2107"/>
      <c r="S86" s="2107"/>
      <c r="T86" s="2107"/>
      <c r="U86" s="2107"/>
      <c r="V86" s="2107"/>
      <c r="W86" s="2108"/>
      <c r="X86" s="409"/>
      <c r="Y86" s="409"/>
      <c r="Z86" s="409"/>
      <c r="AA86" s="285"/>
      <c r="AG86" s="124"/>
      <c r="AH86" s="286"/>
      <c r="AI86" s="124"/>
      <c r="AJ86" s="124"/>
      <c r="AK86" s="124"/>
      <c r="AL86" s="15"/>
      <c r="AM86" s="15"/>
      <c r="AN86" s="15"/>
      <c r="AO86" s="15"/>
      <c r="AP86" s="15"/>
      <c r="AQ86" s="15"/>
    </row>
    <row r="87" spans="2:43" ht="13.5" customHeight="1">
      <c r="B87" s="2179"/>
      <c r="C87" s="2180"/>
      <c r="D87" s="2180"/>
      <c r="E87" s="2180"/>
      <c r="F87" s="2180"/>
      <c r="G87" s="1160"/>
      <c r="H87" s="315"/>
      <c r="I87" s="315"/>
      <c r="J87" s="315"/>
      <c r="K87" s="315"/>
      <c r="L87" s="315"/>
      <c r="M87" s="315"/>
      <c r="N87" s="302"/>
      <c r="O87" s="2248"/>
      <c r="P87" s="2109"/>
      <c r="Q87" s="2110"/>
      <c r="R87" s="2110"/>
      <c r="S87" s="2110"/>
      <c r="T87" s="2110"/>
      <c r="U87" s="2110"/>
      <c r="V87" s="2110"/>
      <c r="W87" s="2111"/>
      <c r="X87" s="409"/>
      <c r="Y87" s="409"/>
      <c r="Z87" s="409"/>
      <c r="AA87" s="285"/>
      <c r="AG87" s="124"/>
      <c r="AH87" s="286"/>
      <c r="AI87" s="286"/>
      <c r="AJ87" s="286"/>
      <c r="AK87" s="286"/>
    </row>
    <row r="88" spans="2:43" s="15" customFormat="1" ht="4.5" customHeight="1"/>
    <row r="89" spans="2:43" ht="14.25" customHeight="1">
      <c r="B89" s="2175" t="s">
        <v>979</v>
      </c>
      <c r="C89" s="2176"/>
      <c r="D89" s="2176"/>
      <c r="E89" s="2176"/>
      <c r="F89" s="2192"/>
      <c r="G89" s="300"/>
      <c r="H89" s="2265" t="str">
        <f>IF(Z96=0,"Invalid zip code. Please input a valid "&amp;L92&amp;" zip code","")</f>
        <v/>
      </c>
      <c r="I89" s="2265"/>
      <c r="J89" s="2265"/>
      <c r="K89" s="2265"/>
      <c r="L89" s="2265"/>
      <c r="M89" s="2265"/>
      <c r="N89" s="300"/>
      <c r="O89" s="2246" t="str">
        <f>IF(Z92=1,IF(L106&lt;&gt;"",IF(L106&gt;L100,"Please Explain","OK")," "),"")</f>
        <v/>
      </c>
      <c r="P89" s="2133" t="str">
        <f>IF(O89="Please Explain","Provide an explanation for the project's development costs exceeding RSMeans:","")</f>
        <v/>
      </c>
      <c r="Q89" s="2134"/>
      <c r="R89" s="2134"/>
      <c r="S89" s="2134"/>
      <c r="T89" s="2134"/>
      <c r="U89" s="2134"/>
      <c r="V89" s="2134"/>
      <c r="W89" s="2135"/>
      <c r="X89" s="409"/>
      <c r="Y89" s="409"/>
      <c r="Z89" s="409"/>
      <c r="AA89" s="285"/>
      <c r="AG89" s="286"/>
      <c r="AH89" s="286"/>
      <c r="AI89" s="286"/>
      <c r="AJ89" s="286"/>
      <c r="AK89" s="286"/>
    </row>
    <row r="90" spans="2:43" ht="14.25" customHeight="1">
      <c r="B90" s="2177"/>
      <c r="C90" s="2178"/>
      <c r="D90" s="2178"/>
      <c r="E90" s="2178"/>
      <c r="F90" s="2193"/>
      <c r="G90" s="2274" t="str">
        <f>IF(L90="","Is Project Located in Multiple Zip Codes?:","Scattered Site:")</f>
        <v>Is Project Located in Multiple Zip Codes?:</v>
      </c>
      <c r="H90" s="2275"/>
      <c r="I90" s="2275"/>
      <c r="J90" s="2275"/>
      <c r="K90" s="2275"/>
      <c r="L90" s="2272"/>
      <c r="M90" s="2273"/>
      <c r="N90" s="313"/>
      <c r="O90" s="2247"/>
      <c r="P90" s="2136"/>
      <c r="Q90" s="2137"/>
      <c r="R90" s="2137"/>
      <c r="S90" s="2137"/>
      <c r="T90" s="2137"/>
      <c r="U90" s="2137"/>
      <c r="V90" s="2137"/>
      <c r="W90" s="2138"/>
      <c r="X90" s="409"/>
      <c r="Y90" s="409"/>
      <c r="Z90" s="1193" t="str">
        <f>IF(L94&lt;&gt;"",LEFT(L94,3)," ")</f>
        <v xml:space="preserve"> </v>
      </c>
      <c r="AA90" s="285">
        <f>IF(COUNTIFS(RSMeans!B:B,LEFT(L94,3),RSMeans!C:C,L92)&gt;0,1,0)</f>
        <v>0</v>
      </c>
      <c r="AD90" s="292"/>
      <c r="AG90" s="286"/>
      <c r="AH90" s="286"/>
      <c r="AI90" s="286"/>
      <c r="AJ90" s="286"/>
      <c r="AK90" s="286"/>
    </row>
    <row r="91" spans="2:43" ht="3.75" customHeight="1">
      <c r="B91" s="2177"/>
      <c r="C91" s="2178"/>
      <c r="D91" s="2178"/>
      <c r="E91" s="2178"/>
      <c r="F91" s="2193"/>
      <c r="G91" s="298"/>
      <c r="H91" s="298"/>
      <c r="I91" s="298"/>
      <c r="J91" s="1191"/>
      <c r="K91" s="1191"/>
      <c r="L91" s="2251"/>
      <c r="M91" s="2251"/>
      <c r="N91" s="313"/>
      <c r="O91" s="2247"/>
      <c r="P91" s="2106"/>
      <c r="Q91" s="2107"/>
      <c r="R91" s="2107"/>
      <c r="S91" s="2107"/>
      <c r="T91" s="2107"/>
      <c r="U91" s="2107"/>
      <c r="V91" s="2107"/>
      <c r="W91" s="2108"/>
      <c r="X91" s="409"/>
      <c r="Y91" s="409"/>
      <c r="Z91" s="409"/>
      <c r="AA91" s="285"/>
      <c r="AD91" s="292" t="s">
        <v>721</v>
      </c>
      <c r="AG91" s="286"/>
      <c r="AH91" s="286"/>
      <c r="AI91" s="286"/>
      <c r="AJ91" s="286"/>
      <c r="AK91" s="286"/>
    </row>
    <row r="92" spans="2:43" ht="14.25" customHeight="1">
      <c r="B92" s="2177"/>
      <c r="C92" s="2178"/>
      <c r="D92" s="2178"/>
      <c r="E92" s="2178"/>
      <c r="F92" s="2193"/>
      <c r="K92" s="1190" t="str">
        <f>IF(L92="","Select a State:","State:")</f>
        <v>Select a State:</v>
      </c>
      <c r="L92" s="2261"/>
      <c r="M92" s="2263"/>
      <c r="N92" s="313"/>
      <c r="O92" s="2247"/>
      <c r="P92" s="2106"/>
      <c r="Q92" s="2107"/>
      <c r="R92" s="2107"/>
      <c r="S92" s="2107"/>
      <c r="T92" s="2107"/>
      <c r="U92" s="2107"/>
      <c r="V92" s="2107"/>
      <c r="W92" s="2108"/>
      <c r="X92" s="409"/>
      <c r="Y92" s="409"/>
      <c r="Z92" s="409">
        <f>IF(AND(L92&lt;&gt;"Select a State…",K98&lt;&gt;"",K96&lt;&gt;""),1,0)</f>
        <v>0</v>
      </c>
      <c r="AA92" s="285" t="str">
        <f>K98&amp;", "&amp;L92</f>
        <v xml:space="preserve">, </v>
      </c>
      <c r="AB92" s="286">
        <f>IF(L90="No",L92&amp;", "&amp;LEFT(L94,3),L92)</f>
        <v>0</v>
      </c>
      <c r="AD92" s="292" t="s">
        <v>780</v>
      </c>
      <c r="AG92" s="286"/>
      <c r="AH92" s="316"/>
      <c r="AI92" s="286"/>
      <c r="AJ92" s="286"/>
      <c r="AK92" s="286"/>
    </row>
    <row r="93" spans="2:43" ht="4.5" customHeight="1">
      <c r="B93" s="2177"/>
      <c r="C93" s="2178"/>
      <c r="D93" s="2178"/>
      <c r="E93" s="2178"/>
      <c r="F93" s="2193"/>
      <c r="G93" s="294"/>
      <c r="H93" s="294"/>
      <c r="I93" s="294"/>
      <c r="J93" s="295"/>
      <c r="K93" s="295"/>
      <c r="L93" s="307"/>
      <c r="M93" s="307"/>
      <c r="N93" s="313"/>
      <c r="O93" s="2247"/>
      <c r="P93" s="2106"/>
      <c r="Q93" s="2107"/>
      <c r="R93" s="2107"/>
      <c r="S93" s="2107"/>
      <c r="T93" s="2107"/>
      <c r="U93" s="2107"/>
      <c r="V93" s="2107"/>
      <c r="W93" s="2108"/>
      <c r="X93" s="409"/>
      <c r="Y93" s="409"/>
      <c r="Z93" s="409"/>
      <c r="AA93" s="285"/>
      <c r="AD93" s="292" t="s">
        <v>722</v>
      </c>
      <c r="AG93" s="98" t="s">
        <v>398</v>
      </c>
      <c r="AH93" s="74" t="s">
        <v>389</v>
      </c>
      <c r="AI93" s="1150" t="s">
        <v>1050</v>
      </c>
      <c r="AJ93" s="926" t="s">
        <v>779</v>
      </c>
      <c r="AK93" s="1151" t="s">
        <v>758</v>
      </c>
      <c r="AL93" s="1151" t="s">
        <v>1056</v>
      </c>
      <c r="AM93" s="1151" t="s">
        <v>1058</v>
      </c>
      <c r="AN93" s="1151" t="s">
        <v>1065</v>
      </c>
      <c r="AO93" s="1151" t="s">
        <v>1068</v>
      </c>
      <c r="AP93" s="1151" t="s">
        <v>770</v>
      </c>
      <c r="AQ93" s="1151" t="s">
        <v>1080</v>
      </c>
    </row>
    <row r="94" spans="2:43" ht="14.25" customHeight="1">
      <c r="B94" s="2177"/>
      <c r="C94" s="2178"/>
      <c r="D94" s="2178"/>
      <c r="E94" s="2178"/>
      <c r="F94" s="2193"/>
      <c r="J94" s="2275" t="str">
        <f>IF(AND(L90="No",L94=""),"Input Project Zip:","Project Zip Code:")</f>
        <v>Project Zip Code:</v>
      </c>
      <c r="K94" s="2292"/>
      <c r="L94" s="2272"/>
      <c r="M94" s="2273"/>
      <c r="O94" s="2247"/>
      <c r="P94" s="2106"/>
      <c r="Q94" s="2107"/>
      <c r="R94" s="2107"/>
      <c r="S94" s="2107"/>
      <c r="T94" s="2107"/>
      <c r="U94" s="2107"/>
      <c r="V94" s="2107"/>
      <c r="W94" s="2108"/>
      <c r="X94" s="409"/>
      <c r="Y94" s="409"/>
      <c r="Z94" s="409"/>
      <c r="AA94" s="285"/>
      <c r="AD94" s="292" t="s">
        <v>723</v>
      </c>
      <c r="AG94" s="286"/>
      <c r="AH94" s="71" t="s">
        <v>190</v>
      </c>
      <c r="AI94" s="1150" t="s">
        <v>1051</v>
      </c>
      <c r="AJ94" s="1152"/>
      <c r="AK94" s="1151" t="s">
        <v>1052</v>
      </c>
      <c r="AL94" s="1151" t="s">
        <v>1057</v>
      </c>
      <c r="AM94" s="1151" t="s">
        <v>760</v>
      </c>
      <c r="AN94" s="1151" t="s">
        <v>1063</v>
      </c>
      <c r="AO94" s="1151" t="s">
        <v>1067</v>
      </c>
      <c r="AP94" s="1151" t="s">
        <v>1071</v>
      </c>
      <c r="AQ94" s="1151" t="s">
        <v>1079</v>
      </c>
    </row>
    <row r="95" spans="2:43" ht="5.25" customHeight="1">
      <c r="B95" s="2177"/>
      <c r="C95" s="2178"/>
      <c r="D95" s="2178"/>
      <c r="E95" s="2178"/>
      <c r="F95" s="2193"/>
      <c r="G95" s="294"/>
      <c r="H95" s="294"/>
      <c r="I95" s="294"/>
      <c r="J95" s="294"/>
      <c r="K95" s="294"/>
      <c r="L95" s="307"/>
      <c r="M95" s="307"/>
      <c r="N95" s="313"/>
      <c r="O95" s="2247"/>
      <c r="P95" s="2106"/>
      <c r="Q95" s="2107"/>
      <c r="R95" s="2107"/>
      <c r="S95" s="2107"/>
      <c r="T95" s="2107"/>
      <c r="U95" s="2107"/>
      <c r="V95" s="2107"/>
      <c r="W95" s="2108"/>
      <c r="X95" s="409"/>
      <c r="Y95" s="409"/>
      <c r="Z95" s="409"/>
      <c r="AA95" s="285"/>
      <c r="AG95" s="286"/>
      <c r="AH95" s="74" t="s">
        <v>390</v>
      </c>
      <c r="AI95" s="1150" t="s">
        <v>755</v>
      </c>
      <c r="AJ95" s="1152"/>
      <c r="AK95" s="1152"/>
      <c r="AL95" s="1151" t="s">
        <v>1054</v>
      </c>
      <c r="AM95" s="1151" t="s">
        <v>1059</v>
      </c>
      <c r="AN95" s="1151" t="s">
        <v>766</v>
      </c>
      <c r="AO95" s="1151" t="s">
        <v>769</v>
      </c>
      <c r="AP95" s="1151" t="s">
        <v>1073</v>
      </c>
      <c r="AQ95" s="1151" t="s">
        <v>771</v>
      </c>
    </row>
    <row r="96" spans="2:43" ht="14.25" customHeight="1">
      <c r="B96" s="2177"/>
      <c r="C96" s="2178"/>
      <c r="D96" s="2178"/>
      <c r="E96" s="2178"/>
      <c r="F96" s="2193"/>
      <c r="I96" s="2100" t="str">
        <f>IF(K96="","Select Housing Type:","Housing Type:")</f>
        <v>Select Housing Type:</v>
      </c>
      <c r="J96" s="2100"/>
      <c r="K96" s="2289"/>
      <c r="L96" s="2290"/>
      <c r="M96" s="2291"/>
      <c r="N96" s="313"/>
      <c r="O96" s="2247"/>
      <c r="P96" s="2106"/>
      <c r="Q96" s="2107"/>
      <c r="R96" s="2107"/>
      <c r="S96" s="2107"/>
      <c r="T96" s="2107"/>
      <c r="U96" s="2107"/>
      <c r="V96" s="2107"/>
      <c r="W96" s="2108"/>
      <c r="X96" s="409"/>
      <c r="Y96" s="409"/>
      <c r="Z96" s="1193" t="str">
        <f>IF(AND(L92&lt;&gt;"",L94&lt;&gt;""),COUNTIFS(RSMeans!C:C,L92,RSMeans!B:B,LEFT(L94,3)),"")</f>
        <v/>
      </c>
      <c r="AA96" s="285"/>
      <c r="AG96" s="286"/>
      <c r="AH96" s="71" t="s">
        <v>391</v>
      </c>
      <c r="AI96" s="1150" t="s">
        <v>756</v>
      </c>
      <c r="AJ96" s="1152"/>
      <c r="AK96" s="1152"/>
      <c r="AL96" s="1151" t="s">
        <v>1055</v>
      </c>
      <c r="AM96" s="1151" t="s">
        <v>761</v>
      </c>
      <c r="AN96" s="1151" t="s">
        <v>1064</v>
      </c>
      <c r="AO96" s="1151" t="s">
        <v>1069</v>
      </c>
      <c r="AP96" s="1151" t="s">
        <v>1078</v>
      </c>
      <c r="AQ96" s="1151" t="s">
        <v>772</v>
      </c>
    </row>
    <row r="97" spans="2:71" ht="5.25" customHeight="1">
      <c r="B97" s="2177"/>
      <c r="C97" s="2178"/>
      <c r="D97" s="2178"/>
      <c r="E97" s="2178"/>
      <c r="F97" s="2193"/>
      <c r="G97" s="295"/>
      <c r="N97" s="313"/>
      <c r="O97" s="2247"/>
      <c r="P97" s="2106"/>
      <c r="Q97" s="2107"/>
      <c r="R97" s="2107"/>
      <c r="S97" s="2107"/>
      <c r="T97" s="2107"/>
      <c r="U97" s="2107"/>
      <c r="V97" s="2107"/>
      <c r="W97" s="2108"/>
      <c r="X97" s="409"/>
      <c r="Y97" s="409"/>
      <c r="Z97" s="409"/>
      <c r="AA97" s="285"/>
      <c r="AG97" s="286"/>
      <c r="AH97" s="71" t="s">
        <v>393</v>
      </c>
      <c r="AI97" s="286"/>
      <c r="AJ97" s="1152"/>
      <c r="AK97" s="1152"/>
      <c r="AL97" s="1151" t="s">
        <v>1053</v>
      </c>
      <c r="AM97" s="1151" t="s">
        <v>762</v>
      </c>
      <c r="AN97" s="1151" t="s">
        <v>767</v>
      </c>
      <c r="AO97" s="1151" t="s">
        <v>1066</v>
      </c>
      <c r="AP97" s="1151" t="s">
        <v>1070</v>
      </c>
      <c r="AQ97" s="1151" t="s">
        <v>773</v>
      </c>
    </row>
    <row r="98" spans="2:71" ht="14.25" customHeight="1">
      <c r="B98" s="2177"/>
      <c r="C98" s="2178"/>
      <c r="D98" s="2178"/>
      <c r="E98" s="2178"/>
      <c r="F98" s="2193"/>
      <c r="G98" s="2255" t="str">
        <f>IF(L90="Select One…","RSMeans Area:",IF(L90="No","RSMeans City Area:","RSMeans Area:"))</f>
        <v>RSMeans Area:</v>
      </c>
      <c r="H98" s="2076"/>
      <c r="I98" s="2076"/>
      <c r="J98" s="2256"/>
      <c r="K98" s="2252" t="str">
        <f>IFERROR(IF(L90="No",VLOOKUP(AB92,RSMeans!A:D,4,FALSE),IF(L90="Yes","State Average","")),"")</f>
        <v/>
      </c>
      <c r="L98" s="2253"/>
      <c r="M98" s="2254"/>
      <c r="N98" s="313"/>
      <c r="O98" s="2247"/>
      <c r="P98" s="2106"/>
      <c r="Q98" s="2107"/>
      <c r="R98" s="2107"/>
      <c r="S98" s="2107"/>
      <c r="T98" s="2107"/>
      <c r="U98" s="2107"/>
      <c r="V98" s="2107"/>
      <c r="W98" s="2108"/>
      <c r="X98" s="409"/>
      <c r="Y98" s="409"/>
      <c r="Z98" s="409"/>
      <c r="AA98" s="285"/>
      <c r="AB98" s="286">
        <f>IF(O89="Please Explain",1,0)</f>
        <v>0</v>
      </c>
      <c r="AC98" s="286">
        <f>IF(P91="",1,0)</f>
        <v>1</v>
      </c>
      <c r="AG98" s="286"/>
      <c r="AH98" s="71" t="s">
        <v>394</v>
      </c>
      <c r="AI98" s="286"/>
      <c r="AJ98" s="1152"/>
      <c r="AK98" s="1152"/>
      <c r="AL98" s="1151" t="s">
        <v>759</v>
      </c>
      <c r="AM98" s="1151" t="s">
        <v>763</v>
      </c>
      <c r="AN98" s="1151" t="s">
        <v>1061</v>
      </c>
      <c r="AO98" s="1153"/>
      <c r="AP98" s="1151" t="s">
        <v>1077</v>
      </c>
      <c r="AQ98" s="1151" t="s">
        <v>774</v>
      </c>
    </row>
    <row r="99" spans="2:71" ht="5.25" customHeight="1">
      <c r="B99" s="2177"/>
      <c r="C99" s="2178"/>
      <c r="D99" s="2178"/>
      <c r="E99" s="2178"/>
      <c r="F99" s="2193"/>
      <c r="G99" s="295"/>
      <c r="N99" s="313"/>
      <c r="O99" s="2247"/>
      <c r="P99" s="2106"/>
      <c r="Q99" s="2107"/>
      <c r="R99" s="2107"/>
      <c r="S99" s="2107"/>
      <c r="T99" s="2107"/>
      <c r="U99" s="2107"/>
      <c r="V99" s="2107"/>
      <c r="W99" s="2108"/>
      <c r="X99" s="409"/>
      <c r="Y99" s="409"/>
      <c r="Z99" s="409" t="s">
        <v>114</v>
      </c>
      <c r="AA99" s="285"/>
      <c r="AG99" s="286"/>
      <c r="AH99" s="71" t="s">
        <v>392</v>
      </c>
      <c r="AI99" s="286"/>
      <c r="AJ99" s="1152"/>
      <c r="AK99" s="1152"/>
      <c r="AL99" s="1154"/>
      <c r="AM99" s="1151" t="s">
        <v>764</v>
      </c>
      <c r="AN99" s="1151" t="s">
        <v>1062</v>
      </c>
      <c r="AO99" s="1153"/>
      <c r="AP99" s="1151" t="s">
        <v>1072</v>
      </c>
      <c r="AQ99" s="1151" t="s">
        <v>775</v>
      </c>
    </row>
    <row r="100" spans="2:71" ht="14.25" customHeight="1">
      <c r="B100" s="2177"/>
      <c r="C100" s="2178"/>
      <c r="D100" s="2178"/>
      <c r="E100" s="2178"/>
      <c r="F100" s="2193"/>
      <c r="G100" s="295"/>
      <c r="H100" s="2100" t="s">
        <v>781</v>
      </c>
      <c r="I100" s="2100"/>
      <c r="J100" s="2100"/>
      <c r="K100" s="2100"/>
      <c r="L100" s="2287" t="str">
        <f>IFERROR(VLOOKUP(AB92,RSMeans!A:H,MATCH(K96,RSMeans!1:1,0), FALSE),"")</f>
        <v/>
      </c>
      <c r="M100" s="2288"/>
      <c r="N100" s="313"/>
      <c r="O100" s="2247"/>
      <c r="P100" s="2106"/>
      <c r="Q100" s="2107"/>
      <c r="R100" s="2107"/>
      <c r="S100" s="2107"/>
      <c r="T100" s="2107"/>
      <c r="U100" s="2107"/>
      <c r="V100" s="2107"/>
      <c r="W100" s="2108"/>
      <c r="X100" s="409"/>
      <c r="Y100" s="409"/>
      <c r="Z100" s="409" t="s">
        <v>115</v>
      </c>
      <c r="AA100" s="285"/>
      <c r="AG100" s="286"/>
      <c r="AH100" s="71" t="s">
        <v>395</v>
      </c>
      <c r="AI100" s="286"/>
      <c r="AJ100" s="1152"/>
      <c r="AK100" s="1152"/>
      <c r="AL100" s="1154"/>
      <c r="AM100" s="1151" t="s">
        <v>1060</v>
      </c>
      <c r="AN100" s="1151" t="s">
        <v>768</v>
      </c>
      <c r="AO100" s="1154"/>
      <c r="AP100" s="1151" t="s">
        <v>1074</v>
      </c>
      <c r="AQ100" s="1151" t="s">
        <v>776</v>
      </c>
    </row>
    <row r="101" spans="2:71" ht="5.25" customHeight="1">
      <c r="B101" s="2177"/>
      <c r="C101" s="2178"/>
      <c r="D101" s="2178"/>
      <c r="E101" s="2178"/>
      <c r="F101" s="2193"/>
      <c r="G101" s="298"/>
      <c r="N101" s="313"/>
      <c r="O101" s="2247"/>
      <c r="P101" s="2106"/>
      <c r="Q101" s="2107"/>
      <c r="R101" s="2107"/>
      <c r="S101" s="2107"/>
      <c r="T101" s="2107"/>
      <c r="U101" s="2107"/>
      <c r="V101" s="2107"/>
      <c r="W101" s="2108"/>
      <c r="X101" s="409"/>
      <c r="Y101" s="409"/>
      <c r="Z101" s="409"/>
      <c r="AA101" s="285"/>
      <c r="AG101" s="286"/>
      <c r="AH101" s="71" t="s">
        <v>396</v>
      </c>
      <c r="AI101" s="286"/>
      <c r="AJ101" s="1152"/>
      <c r="AK101" s="1152"/>
      <c r="AL101" s="1154"/>
      <c r="AM101" s="1151" t="s">
        <v>765</v>
      </c>
      <c r="AN101" s="1153"/>
      <c r="AO101" s="1154"/>
      <c r="AP101" s="1151" t="s">
        <v>1075</v>
      </c>
      <c r="AQ101" s="1151" t="s">
        <v>777</v>
      </c>
    </row>
    <row r="102" spans="2:71" ht="14.25" customHeight="1">
      <c r="B102" s="2177"/>
      <c r="C102" s="2178"/>
      <c r="D102" s="2178"/>
      <c r="E102" s="2178"/>
      <c r="F102" s="2193"/>
      <c r="G102" s="298"/>
      <c r="H102" s="2100" t="s">
        <v>782</v>
      </c>
      <c r="I102" s="2100"/>
      <c r="J102" s="2100"/>
      <c r="K102" s="2100"/>
      <c r="L102" s="2285">
        <f>'A(2)-Uses Statement'!G39</f>
        <v>0</v>
      </c>
      <c r="M102" s="2286"/>
      <c r="N102" s="313"/>
      <c r="O102" s="2247"/>
      <c r="P102" s="2106"/>
      <c r="Q102" s="2107"/>
      <c r="R102" s="2107"/>
      <c r="S102" s="2107"/>
      <c r="T102" s="2107"/>
      <c r="U102" s="2107"/>
      <c r="V102" s="2107"/>
      <c r="W102" s="2108"/>
      <c r="X102" s="409"/>
      <c r="Y102" s="409"/>
      <c r="Z102" s="409">
        <f>IF(OR(L90="Yes",L90="No"),1,0)</f>
        <v>0</v>
      </c>
      <c r="AA102" s="285"/>
      <c r="AG102" s="286"/>
      <c r="AH102" s="286"/>
      <c r="AI102" s="286"/>
      <c r="AJ102" s="1152"/>
      <c r="AK102" s="1152"/>
      <c r="AL102" s="1154"/>
      <c r="AM102" s="1151"/>
      <c r="AN102" s="1153"/>
      <c r="AO102" s="1154"/>
      <c r="AP102" s="1151" t="s">
        <v>1076</v>
      </c>
      <c r="AQ102" s="1151" t="s">
        <v>778</v>
      </c>
    </row>
    <row r="103" spans="2:71" ht="5.25" customHeight="1">
      <c r="B103" s="2177"/>
      <c r="C103" s="2178"/>
      <c r="D103" s="2178"/>
      <c r="E103" s="2178"/>
      <c r="F103" s="2193"/>
      <c r="G103" s="298"/>
      <c r="N103" s="313"/>
      <c r="O103" s="2247"/>
      <c r="P103" s="2106"/>
      <c r="Q103" s="2107"/>
      <c r="R103" s="2107"/>
      <c r="S103" s="2107"/>
      <c r="T103" s="2107"/>
      <c r="U103" s="2107"/>
      <c r="V103" s="2107"/>
      <c r="W103" s="2108"/>
      <c r="X103" s="409"/>
      <c r="Y103" s="409"/>
      <c r="Z103" s="409"/>
      <c r="AA103" s="285"/>
      <c r="AG103" s="286"/>
      <c r="AH103" s="286"/>
      <c r="AI103" s="286"/>
      <c r="AJ103" s="1152"/>
      <c r="AK103" s="1152"/>
      <c r="AL103" s="1154"/>
      <c r="AM103" s="1184"/>
      <c r="AN103" s="1153"/>
      <c r="AO103" s="1154"/>
      <c r="AP103" s="1184"/>
      <c r="AQ103" s="1184"/>
    </row>
    <row r="104" spans="2:71" ht="14.25" customHeight="1">
      <c r="B104" s="2177"/>
      <c r="C104" s="2178"/>
      <c r="D104" s="2178"/>
      <c r="E104" s="2178"/>
      <c r="F104" s="2193"/>
      <c r="G104" s="298"/>
      <c r="H104" s="2100" t="s">
        <v>784</v>
      </c>
      <c r="I104" s="2100"/>
      <c r="J104" s="2100"/>
      <c r="K104" s="2100"/>
      <c r="L104" s="2297">
        <f>'A(2)-Uses Statement'!H12</f>
        <v>0</v>
      </c>
      <c r="M104" s="2298"/>
      <c r="N104" s="313"/>
      <c r="O104" s="2247"/>
      <c r="P104" s="2106"/>
      <c r="Q104" s="2107"/>
      <c r="R104" s="2107"/>
      <c r="S104" s="2107"/>
      <c r="T104" s="2107"/>
      <c r="U104" s="2107"/>
      <c r="V104" s="2107"/>
      <c r="W104" s="2108"/>
      <c r="X104" s="409"/>
      <c r="Y104" s="409"/>
      <c r="Z104" s="409"/>
      <c r="AA104" s="285"/>
      <c r="AG104" s="286"/>
      <c r="AH104" s="286"/>
      <c r="AI104" s="286"/>
      <c r="AJ104" s="1152"/>
      <c r="AK104" s="1152"/>
      <c r="AL104" s="1154"/>
      <c r="AM104" s="1184"/>
      <c r="AN104" s="1153"/>
      <c r="AO104" s="1154"/>
      <c r="AP104" s="1184"/>
      <c r="AQ104" s="1184"/>
    </row>
    <row r="105" spans="2:71" ht="5.25" customHeight="1">
      <c r="B105" s="2177"/>
      <c r="C105" s="2178"/>
      <c r="D105" s="2178"/>
      <c r="E105" s="2178"/>
      <c r="F105" s="2193"/>
      <c r="G105" s="298"/>
      <c r="H105" s="1189"/>
      <c r="I105" s="1189"/>
      <c r="J105" s="1189"/>
      <c r="K105" s="1189"/>
      <c r="L105" s="1187"/>
      <c r="M105" s="1187"/>
      <c r="N105" s="313"/>
      <c r="O105" s="2247"/>
      <c r="P105" s="2106"/>
      <c r="Q105" s="2107"/>
      <c r="R105" s="2107"/>
      <c r="S105" s="2107"/>
      <c r="T105" s="2107"/>
      <c r="U105" s="2107"/>
      <c r="V105" s="2107"/>
      <c r="W105" s="2108"/>
      <c r="X105" s="409"/>
      <c r="Y105" s="409"/>
      <c r="Z105" s="409"/>
      <c r="AA105" s="285"/>
      <c r="AG105" s="286"/>
      <c r="AH105" s="286"/>
      <c r="AI105" s="286"/>
      <c r="AJ105" s="1152"/>
      <c r="AK105" s="1152"/>
      <c r="AL105" s="1154"/>
      <c r="AM105" s="1184"/>
      <c r="AN105" s="1153"/>
      <c r="AO105" s="1154"/>
      <c r="AP105" s="1184"/>
      <c r="AQ105" s="1184"/>
    </row>
    <row r="106" spans="2:71" ht="14.25" customHeight="1">
      <c r="B106" s="2177"/>
      <c r="C106" s="2178"/>
      <c r="D106" s="2178"/>
      <c r="E106" s="2178"/>
      <c r="F106" s="2193"/>
      <c r="G106" s="298"/>
      <c r="H106" s="2100" t="s">
        <v>783</v>
      </c>
      <c r="I106" s="2100"/>
      <c r="J106" s="2100"/>
      <c r="K106" s="2100"/>
      <c r="L106" s="2269" t="str">
        <f>IFERROR(ROUND(L102/L104,0),"")</f>
        <v/>
      </c>
      <c r="M106" s="2270"/>
      <c r="N106" s="313"/>
      <c r="O106" s="2247"/>
      <c r="P106" s="2106"/>
      <c r="Q106" s="2107"/>
      <c r="R106" s="2107"/>
      <c r="S106" s="2107"/>
      <c r="T106" s="2107"/>
      <c r="U106" s="2107"/>
      <c r="V106" s="2107"/>
      <c r="W106" s="2108"/>
      <c r="X106" s="409"/>
      <c r="Y106" s="409"/>
      <c r="Z106" s="409"/>
      <c r="AA106" s="285"/>
      <c r="AG106" s="286"/>
      <c r="AH106" s="286"/>
      <c r="AI106" s="286"/>
      <c r="AJ106" s="1152"/>
      <c r="AK106" s="1152"/>
      <c r="AL106" s="1154"/>
      <c r="AM106" s="1184"/>
      <c r="AN106" s="1153"/>
      <c r="AO106" s="1154"/>
      <c r="AP106" s="1184"/>
      <c r="AQ106" s="1184"/>
      <c r="BR106" s="1206"/>
      <c r="BS106" s="1207"/>
    </row>
    <row r="107" spans="2:71" ht="5.25" customHeight="1">
      <c r="B107" s="2179"/>
      <c r="C107" s="2180"/>
      <c r="D107" s="2180"/>
      <c r="E107" s="2180"/>
      <c r="F107" s="2194"/>
      <c r="G107" s="315"/>
      <c r="H107" s="2284"/>
      <c r="I107" s="2284"/>
      <c r="J107" s="2284"/>
      <c r="K107" s="317"/>
      <c r="L107" s="315"/>
      <c r="M107" s="315"/>
      <c r="N107" s="302"/>
      <c r="O107" s="2248"/>
      <c r="P107" s="2109"/>
      <c r="Q107" s="2110"/>
      <c r="R107" s="2110"/>
      <c r="S107" s="2110"/>
      <c r="T107" s="2110"/>
      <c r="U107" s="2110"/>
      <c r="V107" s="2110"/>
      <c r="W107" s="2111"/>
      <c r="X107" s="409"/>
      <c r="Y107" s="409"/>
      <c r="Z107" s="409"/>
      <c r="AA107" s="285"/>
      <c r="AF107" s="286">
        <f>COUNTIF(L92,"Select a State…")</f>
        <v>0</v>
      </c>
      <c r="AG107" s="286"/>
      <c r="AH107" s="286"/>
      <c r="AI107" s="286"/>
      <c r="AJ107" s="1152"/>
      <c r="AK107" s="1152"/>
      <c r="AL107" s="1154"/>
      <c r="AM107" s="1154"/>
      <c r="AN107" s="1154"/>
      <c r="AO107" s="1154"/>
      <c r="AP107" s="1153"/>
      <c r="AQ107" s="1153"/>
    </row>
    <row r="108" spans="2:71" s="15" customFormat="1" ht="4.5" customHeight="1">
      <c r="AJ108" s="206"/>
      <c r="AK108" s="206"/>
      <c r="AL108" s="206"/>
      <c r="AM108" s="206"/>
      <c r="AN108" s="206"/>
      <c r="AO108" s="206"/>
      <c r="AP108" s="1153"/>
      <c r="AQ108" s="206"/>
    </row>
    <row r="109" spans="2:71" ht="18" customHeight="1">
      <c r="B109" s="289"/>
      <c r="C109" s="290"/>
      <c r="D109" s="290"/>
      <c r="E109" s="290"/>
      <c r="F109" s="290"/>
      <c r="G109" s="318"/>
      <c r="H109" s="300"/>
      <c r="I109" s="300"/>
      <c r="J109" s="300"/>
      <c r="K109" s="300"/>
      <c r="L109" s="300"/>
      <c r="M109" s="300"/>
      <c r="N109" s="300"/>
      <c r="O109" s="2116" t="str">
        <f>IF(AND(K111&lt;&gt;"Select One…",K118&lt;&gt;""),IF(K111="Construction",AJ111,IF(K111="Rehabilitation",AJ112,IF(K111="Acquisition",AJ113))),"")</f>
        <v/>
      </c>
      <c r="P109" s="2149" t="str">
        <f>IF(O109="Please Explain","Provide an explanation for the project's hard cost contingency exceeding the benchmark for the project type:"," ")</f>
        <v xml:space="preserve"> </v>
      </c>
      <c r="Q109" s="2150"/>
      <c r="R109" s="2150"/>
      <c r="S109" s="2150"/>
      <c r="T109" s="2150"/>
      <c r="U109" s="2150"/>
      <c r="V109" s="2150"/>
      <c r="W109" s="2151"/>
      <c r="X109" s="408"/>
      <c r="Y109" s="408"/>
      <c r="Z109" s="408"/>
      <c r="AA109" s="285"/>
      <c r="AB109" s="717" t="str">
        <f>'Project Info and Instructions'!$F$20</f>
        <v>Rental</v>
      </c>
      <c r="AG109" s="286"/>
      <c r="AH109" s="286"/>
      <c r="AI109" s="286"/>
      <c r="AJ109" s="1152"/>
      <c r="AK109" s="1152"/>
      <c r="AL109" s="1154"/>
      <c r="AM109" s="1154"/>
      <c r="AN109" s="1154"/>
      <c r="AO109" s="1154"/>
      <c r="AP109" s="1153"/>
      <c r="AQ109" s="1154"/>
    </row>
    <row r="110" spans="2:71" ht="12.75" customHeight="1">
      <c r="B110" s="319"/>
      <c r="C110" s="305"/>
      <c r="D110" s="305"/>
      <c r="E110" s="305"/>
      <c r="F110" s="305"/>
      <c r="G110" s="320"/>
      <c r="H110" s="305"/>
      <c r="I110" s="305"/>
      <c r="J110" s="305"/>
      <c r="K110" s="305"/>
      <c r="L110" s="305"/>
      <c r="M110" s="305"/>
      <c r="N110" s="313"/>
      <c r="O110" s="2117"/>
      <c r="P110" s="2152"/>
      <c r="Q110" s="2153"/>
      <c r="R110" s="2153"/>
      <c r="S110" s="2153"/>
      <c r="T110" s="2153"/>
      <c r="U110" s="2153"/>
      <c r="V110" s="2153"/>
      <c r="W110" s="2154"/>
      <c r="X110" s="408"/>
      <c r="Y110" s="408"/>
      <c r="Z110" s="408"/>
      <c r="AA110" s="285" t="str">
        <f>IF(AB109="Select Project Type","",IF(AB109="Owner-occupied",AB110,IF(AB109="Rental",AB111)))</f>
        <v>Select One…</v>
      </c>
      <c r="AB110" s="717" t="str">
        <f>'Project Info and Instructions'!$R$20</f>
        <v>Select One…</v>
      </c>
      <c r="AD110" s="292" t="s">
        <v>720</v>
      </c>
      <c r="AG110" s="286"/>
      <c r="AH110" s="286"/>
      <c r="AI110" s="286"/>
      <c r="AJ110" s="1152"/>
      <c r="AK110" s="1152"/>
      <c r="AL110" s="1154"/>
      <c r="AM110" s="1154"/>
      <c r="AN110" s="1154"/>
      <c r="AO110" s="1154"/>
      <c r="AP110" s="1153"/>
      <c r="AQ110" s="1154"/>
    </row>
    <row r="111" spans="2:71" ht="14.25" customHeight="1">
      <c r="B111" s="2177" t="s">
        <v>135</v>
      </c>
      <c r="C111" s="2178"/>
      <c r="D111" s="2178"/>
      <c r="E111" s="2178"/>
      <c r="F111" s="2193"/>
      <c r="G111" s="2274" t="s">
        <v>898</v>
      </c>
      <c r="H111" s="2275"/>
      <c r="I111" s="2275"/>
      <c r="J111" s="2275"/>
      <c r="K111" s="2279" t="str">
        <f>IF($AA$110&lt;&gt;"Select One…",$AA$110,"")</f>
        <v/>
      </c>
      <c r="L111" s="2280"/>
      <c r="M111" s="2281"/>
      <c r="N111" s="313"/>
      <c r="O111" s="2117"/>
      <c r="P111" s="2106"/>
      <c r="Q111" s="2107"/>
      <c r="R111" s="2107"/>
      <c r="S111" s="2107"/>
      <c r="T111" s="2107"/>
      <c r="U111" s="2107"/>
      <c r="V111" s="2107"/>
      <c r="W111" s="2108"/>
      <c r="X111" s="408"/>
      <c r="Y111" s="408"/>
      <c r="Z111" s="408"/>
      <c r="AA111" s="285"/>
      <c r="AB111" s="717" t="str">
        <f>'Project Info and Instructions'!$M$22</f>
        <v>Select One…</v>
      </c>
      <c r="AD111" s="292" t="s">
        <v>25</v>
      </c>
      <c r="AE111" s="286" t="str">
        <f>IF(K111=AD110,1,IF(K111=AD111,1,IF(K111=AD112,2,IF(K111=AD113,3,""))))</f>
        <v/>
      </c>
      <c r="AF111" s="286">
        <f>IF(AND(AE111&lt;&gt;0,AE111&lt;&gt;3),COUNTIFS(K111,"Construction"),"")</f>
        <v>0</v>
      </c>
      <c r="AG111" s="286">
        <f>IF(AF111=1,1,0)</f>
        <v>0</v>
      </c>
      <c r="AH111" s="286">
        <f>IF(OR(K118&lt;0.05,K118&gt;0.1),1,0)</f>
        <v>1</v>
      </c>
      <c r="AI111" s="286">
        <f>SUM(AG111:AH111)</f>
        <v>1</v>
      </c>
      <c r="AJ111" s="1152" t="str">
        <f>IF(OR(K118&lt;0.05,K118&gt;0.1),"Please Explain","OK")</f>
        <v>Please Explain</v>
      </c>
      <c r="AK111" s="1152"/>
      <c r="AL111" s="1154"/>
      <c r="AM111" s="1154"/>
      <c r="AN111" s="1154"/>
      <c r="AO111" s="1154"/>
      <c r="AP111" s="1154"/>
      <c r="AQ111" s="1154"/>
    </row>
    <row r="112" spans="2:71" ht="6" customHeight="1" thickBot="1">
      <c r="B112" s="2177"/>
      <c r="C112" s="2178"/>
      <c r="D112" s="2178"/>
      <c r="E112" s="2178"/>
      <c r="F112" s="2193"/>
      <c r="G112" s="321"/>
      <c r="H112" s="298"/>
      <c r="I112" s="298"/>
      <c r="J112" s="298"/>
      <c r="K112" s="307"/>
      <c r="L112" s="307"/>
      <c r="M112" s="307"/>
      <c r="N112" s="313"/>
      <c r="O112" s="2117"/>
      <c r="P112" s="2106"/>
      <c r="Q112" s="2107"/>
      <c r="R112" s="2107"/>
      <c r="S112" s="2107"/>
      <c r="T112" s="2107"/>
      <c r="U112" s="2107"/>
      <c r="V112" s="2107"/>
      <c r="W112" s="2108"/>
      <c r="X112" s="409"/>
      <c r="Y112" s="409"/>
      <c r="Z112" s="409"/>
      <c r="AA112" s="285"/>
      <c r="AD112" s="292" t="s">
        <v>726</v>
      </c>
      <c r="AG112" s="286"/>
      <c r="AH112" s="286">
        <f>IF(OR(K118&lt;0.07,K118&gt;0.2),1,0)</f>
        <v>1</v>
      </c>
      <c r="AI112" s="286"/>
      <c r="AJ112" s="1152" t="str">
        <f>IF(OR(K118&lt;0.07,K118&gt;0.2),"Please Explain","OK")</f>
        <v>Please Explain</v>
      </c>
      <c r="AK112" s="1152"/>
      <c r="AL112" s="1154"/>
      <c r="AM112" s="1154"/>
      <c r="AN112" s="1154"/>
      <c r="AO112" s="1154"/>
      <c r="AP112" s="1153"/>
      <c r="AQ112" s="1154"/>
    </row>
    <row r="113" spans="2:43" ht="6" customHeight="1" thickTop="1">
      <c r="B113" s="487"/>
      <c r="C113" s="2282" t="s">
        <v>1047</v>
      </c>
      <c r="D113" s="2282"/>
      <c r="E113" s="2282"/>
      <c r="F113" s="2283"/>
      <c r="G113" s="321"/>
      <c r="H113" s="322"/>
      <c r="I113" s="322"/>
      <c r="J113" s="322"/>
      <c r="K113" s="322"/>
      <c r="L113" s="322"/>
      <c r="M113" s="322"/>
      <c r="N113" s="313"/>
      <c r="O113" s="2117"/>
      <c r="P113" s="2106"/>
      <c r="Q113" s="2107"/>
      <c r="R113" s="2107"/>
      <c r="S113" s="2107"/>
      <c r="T113" s="2107"/>
      <c r="U113" s="2107"/>
      <c r="V113" s="2107"/>
      <c r="W113" s="2108"/>
      <c r="X113" s="409"/>
      <c r="Y113" s="409"/>
      <c r="Z113" s="409"/>
      <c r="AA113" s="285"/>
      <c r="AD113" s="292" t="s">
        <v>874</v>
      </c>
      <c r="AG113" s="286"/>
      <c r="AH113" s="286"/>
      <c r="AI113" s="286"/>
      <c r="AJ113" s="1155" t="s">
        <v>899</v>
      </c>
      <c r="AK113" s="1152"/>
      <c r="AL113" s="1154"/>
      <c r="AM113" s="1154"/>
      <c r="AN113" s="1154"/>
      <c r="AO113" s="1154"/>
      <c r="AP113" s="1153"/>
      <c r="AQ113" s="1154"/>
    </row>
    <row r="114" spans="2:43" ht="14.25" customHeight="1">
      <c r="B114" s="487"/>
      <c r="C114" s="2282"/>
      <c r="D114" s="2282"/>
      <c r="E114" s="2282"/>
      <c r="F114" s="2283"/>
      <c r="G114" s="321"/>
      <c r="H114" s="2100" t="s">
        <v>1041</v>
      </c>
      <c r="I114" s="2100"/>
      <c r="J114" s="2100"/>
      <c r="K114" s="2258">
        <f>'A(2)-Uses Statement'!$M$38</f>
        <v>0</v>
      </c>
      <c r="L114" s="2259"/>
      <c r="M114" s="2260"/>
      <c r="N114" s="313"/>
      <c r="O114" s="2117"/>
      <c r="P114" s="2106"/>
      <c r="Q114" s="2107"/>
      <c r="R114" s="2107"/>
      <c r="S114" s="2107"/>
      <c r="T114" s="2107"/>
      <c r="U114" s="2107"/>
      <c r="V114" s="2107"/>
      <c r="W114" s="2108"/>
      <c r="X114" s="409"/>
      <c r="Y114" s="409"/>
      <c r="Z114" s="409"/>
      <c r="AA114" s="285"/>
      <c r="AG114" s="286"/>
      <c r="AH114" s="286"/>
      <c r="AI114" s="286"/>
      <c r="AJ114" s="1152"/>
      <c r="AK114" s="1152"/>
      <c r="AL114" s="1154"/>
      <c r="AM114" s="1154"/>
      <c r="AN114" s="1154"/>
      <c r="AO114" s="1154"/>
      <c r="AP114" s="1153"/>
      <c r="AQ114" s="1154"/>
    </row>
    <row r="115" spans="2:43" ht="9.75" customHeight="1">
      <c r="B115" s="487"/>
      <c r="C115" s="2278" t="s">
        <v>1019</v>
      </c>
      <c r="D115" s="2278"/>
      <c r="E115" s="2278"/>
      <c r="F115" s="2278"/>
      <c r="G115" s="321"/>
      <c r="H115" s="2076" t="s">
        <v>1042</v>
      </c>
      <c r="I115" s="2076"/>
      <c r="J115" s="2076"/>
      <c r="K115" s="2103" t="s">
        <v>131</v>
      </c>
      <c r="L115" s="2103"/>
      <c r="M115" s="2103"/>
      <c r="N115" s="313"/>
      <c r="O115" s="2117"/>
      <c r="P115" s="2106"/>
      <c r="Q115" s="2107"/>
      <c r="R115" s="2107"/>
      <c r="S115" s="2107"/>
      <c r="T115" s="2107"/>
      <c r="U115" s="2107"/>
      <c r="V115" s="2107"/>
      <c r="W115" s="2108"/>
      <c r="X115" s="409"/>
      <c r="Y115" s="409"/>
      <c r="Z115" s="409"/>
      <c r="AA115" s="285"/>
      <c r="AG115" s="286"/>
      <c r="AH115" s="286"/>
      <c r="AI115" s="286"/>
      <c r="AJ115" s="1152"/>
      <c r="AK115" s="1152"/>
      <c r="AL115" s="1154"/>
      <c r="AM115" s="1154"/>
      <c r="AN115" s="1154"/>
      <c r="AO115" s="1154"/>
      <c r="AP115" s="1153"/>
      <c r="AQ115" s="1154"/>
    </row>
    <row r="116" spans="2:43" ht="14.25" customHeight="1">
      <c r="B116" s="487"/>
      <c r="C116" s="2278" t="s">
        <v>1048</v>
      </c>
      <c r="D116" s="2278"/>
      <c r="E116" s="2278"/>
      <c r="F116" s="2278"/>
      <c r="G116" s="320"/>
      <c r="H116" s="2076"/>
      <c r="I116" s="2076"/>
      <c r="J116" s="2076"/>
      <c r="K116" s="966">
        <f>'A(2)-Uses Statement'!$M$39</f>
        <v>0</v>
      </c>
      <c r="L116" s="439" t="s">
        <v>132</v>
      </c>
      <c r="M116" s="966">
        <f>K114</f>
        <v>0</v>
      </c>
      <c r="N116" s="323"/>
      <c r="O116" s="2117"/>
      <c r="P116" s="2106"/>
      <c r="Q116" s="2107"/>
      <c r="R116" s="2107"/>
      <c r="S116" s="2107"/>
      <c r="T116" s="2107"/>
      <c r="U116" s="2107"/>
      <c r="V116" s="2107"/>
      <c r="W116" s="2108"/>
      <c r="X116" s="409"/>
      <c r="Y116" s="409"/>
      <c r="Z116" s="409"/>
      <c r="AA116" s="285"/>
      <c r="AB116" s="286">
        <f>IF(O109="Please Explain",1,0)</f>
        <v>0</v>
      </c>
      <c r="AC116" s="286">
        <f>IF(P111="",1,0)</f>
        <v>1</v>
      </c>
      <c r="AG116" s="286"/>
      <c r="AH116" s="286"/>
      <c r="AI116" s="286"/>
      <c r="AJ116" s="1152"/>
      <c r="AK116" s="1152"/>
      <c r="AL116" s="206"/>
      <c r="AM116" s="1154"/>
      <c r="AN116" s="1154"/>
      <c r="AO116" s="1154"/>
      <c r="AP116" s="1154"/>
      <c r="AQ116" s="1154"/>
    </row>
    <row r="117" spans="2:43" ht="9.75" customHeight="1">
      <c r="B117" s="487"/>
      <c r="C117" s="488"/>
      <c r="D117" s="488"/>
      <c r="E117" s="488"/>
      <c r="F117" s="488"/>
      <c r="G117" s="320"/>
      <c r="H117" s="2076"/>
      <c r="I117" s="2076"/>
      <c r="J117" s="2076"/>
      <c r="K117" s="2143" t="s">
        <v>133</v>
      </c>
      <c r="L117" s="2143"/>
      <c r="M117" s="2143"/>
      <c r="N117" s="313"/>
      <c r="O117" s="2117"/>
      <c r="P117" s="2106"/>
      <c r="Q117" s="2107"/>
      <c r="R117" s="2107"/>
      <c r="S117" s="2107"/>
      <c r="T117" s="2107"/>
      <c r="U117" s="2107"/>
      <c r="V117" s="2107"/>
      <c r="W117" s="2108"/>
      <c r="X117" s="409"/>
      <c r="Y117" s="409"/>
      <c r="Z117" s="409"/>
      <c r="AA117" s="285"/>
      <c r="AG117" s="286"/>
      <c r="AH117" s="286"/>
      <c r="AI117" s="286"/>
      <c r="AJ117" s="286"/>
      <c r="AK117" s="286"/>
      <c r="AL117" s="15"/>
    </row>
    <row r="118" spans="2:43" ht="14.25" customHeight="1">
      <c r="B118" s="293"/>
      <c r="C118" s="294"/>
      <c r="D118" s="294"/>
      <c r="E118" s="294"/>
      <c r="F118" s="294"/>
      <c r="G118" s="320"/>
      <c r="H118" s="963"/>
      <c r="I118" s="963"/>
      <c r="J118" s="414"/>
      <c r="K118" s="2104" t="str">
        <f>IFERROR(ROUND(K114/(K116-M116),4),"")</f>
        <v/>
      </c>
      <c r="L118" s="2276"/>
      <c r="M118" s="2105"/>
      <c r="N118" s="313"/>
      <c r="O118" s="2117"/>
      <c r="P118" s="2106"/>
      <c r="Q118" s="2107"/>
      <c r="R118" s="2107"/>
      <c r="S118" s="2107"/>
      <c r="T118" s="2107"/>
      <c r="U118" s="2107"/>
      <c r="V118" s="2107"/>
      <c r="W118" s="2108"/>
      <c r="X118" s="409"/>
      <c r="Y118" s="409"/>
      <c r="Z118" s="409"/>
      <c r="AA118" s="285"/>
      <c r="AG118" s="286"/>
      <c r="AH118" s="286"/>
      <c r="AI118" s="286"/>
      <c r="AJ118" s="286"/>
      <c r="AK118" s="286"/>
      <c r="AL118" s="15"/>
    </row>
    <row r="119" spans="2:43" ht="13.5" customHeight="1">
      <c r="B119" s="324"/>
      <c r="C119" s="302"/>
      <c r="D119" s="302"/>
      <c r="E119" s="302"/>
      <c r="F119" s="302"/>
      <c r="G119" s="324"/>
      <c r="H119" s="302"/>
      <c r="I119" s="302"/>
      <c r="J119" s="302"/>
      <c r="K119" s="302"/>
      <c r="L119" s="302"/>
      <c r="M119" s="302"/>
      <c r="N119" s="302"/>
      <c r="O119" s="2118"/>
      <c r="P119" s="2109"/>
      <c r="Q119" s="2110"/>
      <c r="R119" s="2110"/>
      <c r="S119" s="2110"/>
      <c r="T119" s="2110"/>
      <c r="U119" s="2110"/>
      <c r="V119" s="2110"/>
      <c r="W119" s="2111"/>
      <c r="X119" s="409"/>
      <c r="Y119" s="409"/>
      <c r="Z119" s="409"/>
      <c r="AA119" s="285"/>
      <c r="AG119" s="286"/>
      <c r="AH119" s="286"/>
      <c r="AI119" s="286"/>
      <c r="AJ119" s="286"/>
      <c r="AK119" s="286"/>
      <c r="AL119" s="15"/>
    </row>
    <row r="120" spans="2:43" s="15" customFormat="1" ht="4.5" customHeight="1"/>
    <row r="121" spans="2:43" ht="14.25" customHeight="1">
      <c r="B121" s="2175" t="s">
        <v>137</v>
      </c>
      <c r="C121" s="2176"/>
      <c r="D121" s="2176"/>
      <c r="E121" s="2176"/>
      <c r="F121" s="2176"/>
      <c r="G121" s="318"/>
      <c r="H121" s="300"/>
      <c r="I121" s="300"/>
      <c r="J121" s="300"/>
      <c r="K121" s="300"/>
      <c r="L121" s="300"/>
      <c r="M121" s="300"/>
      <c r="N121" s="300"/>
      <c r="O121" s="2246" t="str">
        <f>IF(K126&lt;&gt;"",IF(K126&lt;=0.2,"OK","Please Explain"),"")</f>
        <v/>
      </c>
      <c r="P121" s="2149" t="str">
        <f>IF(O121="Please Explain","Provide an explanation for the project's soft cost contingency exceeding the benchmark:"," ")</f>
        <v xml:space="preserve"> </v>
      </c>
      <c r="Q121" s="2150"/>
      <c r="R121" s="2150"/>
      <c r="S121" s="2150"/>
      <c r="T121" s="2150"/>
      <c r="U121" s="2150"/>
      <c r="V121" s="2150"/>
      <c r="W121" s="2151"/>
      <c r="X121" s="408"/>
      <c r="Y121" s="408"/>
      <c r="Z121" s="408" t="str">
        <f>IF($AA$110&lt;&gt;"Select One…",$AA$110,"")</f>
        <v/>
      </c>
      <c r="AA121" s="285"/>
      <c r="AG121" s="286"/>
      <c r="AH121" s="286"/>
      <c r="AI121" s="286"/>
      <c r="AJ121" s="286"/>
      <c r="AK121" s="286"/>
      <c r="AL121" s="15"/>
    </row>
    <row r="122" spans="2:43" ht="14.25" customHeight="1">
      <c r="B122" s="2177"/>
      <c r="C122" s="2178"/>
      <c r="D122" s="2178"/>
      <c r="E122" s="2178"/>
      <c r="F122" s="2178"/>
      <c r="G122" s="320"/>
      <c r="H122" s="2100" t="s">
        <v>870</v>
      </c>
      <c r="I122" s="2100"/>
      <c r="J122" s="2100"/>
      <c r="K122" s="2258">
        <f>'A(2)-Uses Statement'!$M$69</f>
        <v>0</v>
      </c>
      <c r="L122" s="2259"/>
      <c r="M122" s="2260"/>
      <c r="N122" s="313"/>
      <c r="O122" s="2247"/>
      <c r="P122" s="2152"/>
      <c r="Q122" s="2153"/>
      <c r="R122" s="2153"/>
      <c r="S122" s="2153"/>
      <c r="T122" s="2153"/>
      <c r="U122" s="2153"/>
      <c r="V122" s="2153"/>
      <c r="W122" s="2154"/>
      <c r="X122" s="408"/>
      <c r="Y122" s="408"/>
      <c r="Z122" s="408"/>
      <c r="AA122" s="285"/>
      <c r="AG122" s="286"/>
      <c r="AH122" s="286"/>
      <c r="AI122" s="286"/>
      <c r="AJ122" s="286"/>
      <c r="AK122" s="286"/>
      <c r="AL122" s="15"/>
    </row>
    <row r="123" spans="2:43" ht="9.75" customHeight="1">
      <c r="B123" s="2177"/>
      <c r="C123" s="2178"/>
      <c r="D123" s="2178"/>
      <c r="E123" s="2178"/>
      <c r="F123" s="2178"/>
      <c r="G123" s="321"/>
      <c r="H123" s="2076" t="s">
        <v>871</v>
      </c>
      <c r="I123" s="2076"/>
      <c r="J123" s="2076"/>
      <c r="K123" s="2103" t="s">
        <v>131</v>
      </c>
      <c r="L123" s="2103"/>
      <c r="M123" s="2103"/>
      <c r="N123" s="313"/>
      <c r="O123" s="2247"/>
      <c r="P123" s="2106"/>
      <c r="Q123" s="2107"/>
      <c r="R123" s="2107"/>
      <c r="S123" s="2107"/>
      <c r="T123" s="2107"/>
      <c r="U123" s="2107"/>
      <c r="V123" s="2107"/>
      <c r="W123" s="2108"/>
      <c r="X123" s="409"/>
      <c r="Y123" s="409"/>
      <c r="Z123" s="409"/>
      <c r="AA123" s="285"/>
      <c r="AB123" s="286">
        <f>IF(O121="Please Explain",1,0)</f>
        <v>0</v>
      </c>
      <c r="AC123" s="286">
        <f>IF(P123="",1,0)</f>
        <v>1</v>
      </c>
      <c r="AG123" s="286"/>
      <c r="AH123" s="286"/>
      <c r="AI123" s="286"/>
      <c r="AJ123" s="286"/>
      <c r="AK123" s="286"/>
      <c r="AL123" s="15"/>
    </row>
    <row r="124" spans="2:43" ht="14.25" customHeight="1">
      <c r="B124" s="2177"/>
      <c r="C124" s="2178"/>
      <c r="D124" s="2178"/>
      <c r="E124" s="2178"/>
      <c r="F124" s="2178"/>
      <c r="G124" s="320"/>
      <c r="H124" s="2076"/>
      <c r="I124" s="2076"/>
      <c r="J124" s="2076"/>
      <c r="K124" s="966">
        <f>'A(2)-Uses Statement'!M79</f>
        <v>0</v>
      </c>
      <c r="L124" s="439" t="s">
        <v>132</v>
      </c>
      <c r="M124" s="966">
        <f>K122</f>
        <v>0</v>
      </c>
      <c r="N124" s="313"/>
      <c r="O124" s="2247"/>
      <c r="P124" s="2106"/>
      <c r="Q124" s="2107"/>
      <c r="R124" s="2107"/>
      <c r="S124" s="2107"/>
      <c r="T124" s="2107"/>
      <c r="U124" s="2107"/>
      <c r="V124" s="2107"/>
      <c r="W124" s="2108"/>
      <c r="X124" s="409"/>
      <c r="Y124" s="409"/>
      <c r="Z124" s="409"/>
      <c r="AA124" s="285"/>
      <c r="AG124" s="286"/>
      <c r="AH124" s="286"/>
      <c r="AI124" s="286"/>
      <c r="AJ124" s="286"/>
      <c r="AK124" s="286"/>
      <c r="AL124" s="15"/>
    </row>
    <row r="125" spans="2:43" ht="9.75" customHeight="1">
      <c r="B125" s="2177"/>
      <c r="C125" s="2178"/>
      <c r="D125" s="2178"/>
      <c r="E125" s="2178"/>
      <c r="F125" s="2178"/>
      <c r="G125" s="320"/>
      <c r="H125" s="2076"/>
      <c r="I125" s="2076"/>
      <c r="J125" s="2076"/>
      <c r="K125" s="2143" t="s">
        <v>133</v>
      </c>
      <c r="L125" s="2144"/>
      <c r="M125" s="2144"/>
      <c r="N125" s="313"/>
      <c r="O125" s="2247"/>
      <c r="P125" s="2106"/>
      <c r="Q125" s="2107"/>
      <c r="R125" s="2107"/>
      <c r="S125" s="2107"/>
      <c r="T125" s="2107"/>
      <c r="U125" s="2107"/>
      <c r="V125" s="2107"/>
      <c r="W125" s="2108"/>
      <c r="X125" s="409"/>
      <c r="Y125" s="409"/>
      <c r="Z125" s="409"/>
      <c r="AA125" s="285"/>
      <c r="AG125" s="286"/>
      <c r="AH125" s="286"/>
      <c r="AI125" s="286"/>
      <c r="AJ125" s="286"/>
      <c r="AK125" s="286"/>
      <c r="AL125" s="15"/>
    </row>
    <row r="126" spans="2:43" ht="14.25" customHeight="1">
      <c r="B126" s="2177"/>
      <c r="C126" s="2178"/>
      <c r="D126" s="2178"/>
      <c r="E126" s="2178"/>
      <c r="F126" s="2178"/>
      <c r="G126" s="320"/>
      <c r="H126" s="963"/>
      <c r="I126" s="963"/>
      <c r="J126" s="414"/>
      <c r="K126" s="2104" t="str">
        <f>IFERROR(ROUND(K122/(K124-M124),4),"")</f>
        <v/>
      </c>
      <c r="L126" s="2276"/>
      <c r="M126" s="2105"/>
      <c r="N126" s="313"/>
      <c r="O126" s="2247"/>
      <c r="P126" s="2106"/>
      <c r="Q126" s="2107"/>
      <c r="R126" s="2107"/>
      <c r="S126" s="2107"/>
      <c r="T126" s="2107"/>
      <c r="U126" s="2107"/>
      <c r="V126" s="2107"/>
      <c r="W126" s="2108"/>
      <c r="X126" s="409"/>
      <c r="Y126" s="409"/>
      <c r="Z126" s="409"/>
      <c r="AA126" s="285"/>
      <c r="AG126" s="286"/>
      <c r="AH126" s="286"/>
      <c r="AI126" s="286"/>
      <c r="AJ126" s="286"/>
      <c r="AK126" s="286"/>
      <c r="AL126" s="15"/>
    </row>
    <row r="127" spans="2:43" ht="14.25" customHeight="1">
      <c r="B127" s="2179"/>
      <c r="C127" s="2180"/>
      <c r="D127" s="2180"/>
      <c r="E127" s="2180"/>
      <c r="F127" s="2180"/>
      <c r="G127" s="324"/>
      <c r="H127" s="302"/>
      <c r="I127" s="302"/>
      <c r="J127" s="302"/>
      <c r="K127" s="302"/>
      <c r="L127" s="302"/>
      <c r="M127" s="302"/>
      <c r="N127" s="302"/>
      <c r="O127" s="2248"/>
      <c r="P127" s="2109"/>
      <c r="Q127" s="2110"/>
      <c r="R127" s="2110"/>
      <c r="S127" s="2110"/>
      <c r="T127" s="2110"/>
      <c r="U127" s="2110"/>
      <c r="V127" s="2110"/>
      <c r="W127" s="2111"/>
      <c r="X127" s="409"/>
      <c r="Y127" s="409"/>
      <c r="Z127" s="409"/>
      <c r="AA127" s="285"/>
      <c r="AG127" s="286"/>
      <c r="AH127" s="286"/>
      <c r="AI127" s="286"/>
      <c r="AJ127" s="286"/>
      <c r="AK127" s="286"/>
      <c r="AL127" s="15"/>
    </row>
    <row r="128" spans="2:43" s="15" customFormat="1" ht="4.5" customHeight="1"/>
    <row r="129" spans="2:59" ht="8.25" customHeight="1">
      <c r="B129" s="2175" t="s">
        <v>727</v>
      </c>
      <c r="C129" s="2176"/>
      <c r="D129" s="2176"/>
      <c r="E129" s="2176"/>
      <c r="F129" s="2176"/>
      <c r="G129" s="318"/>
      <c r="H129" s="300"/>
      <c r="I129" s="300"/>
      <c r="J129" s="300"/>
      <c r="K129" s="300"/>
      <c r="L129" s="300"/>
      <c r="M129" s="300"/>
      <c r="N129" s="300"/>
      <c r="O129" s="2246" t="str">
        <f>IF(L137&lt;&gt;"",IF(AE134=0,"",IF(AE134=1,AF134,IF(AE134=2,AG134,IF(AE134=3,AH134)))),"")</f>
        <v/>
      </c>
      <c r="P129" s="2149" t="str">
        <f>IF(O129="Please Explain","Provide an explanation for the project's soft costs exceeding the benchmark:","")</f>
        <v/>
      </c>
      <c r="Q129" s="2150"/>
      <c r="R129" s="2150"/>
      <c r="S129" s="2150"/>
      <c r="T129" s="2150"/>
      <c r="U129" s="2150"/>
      <c r="V129" s="2150"/>
      <c r="W129" s="2151"/>
      <c r="X129" s="408"/>
      <c r="Y129" s="408"/>
      <c r="Z129" s="408"/>
      <c r="AA129" s="285"/>
      <c r="AG129" s="286"/>
      <c r="AH129" s="286"/>
      <c r="AI129" s="286"/>
      <c r="AJ129" s="286"/>
      <c r="AK129" s="286"/>
      <c r="AL129" s="15"/>
    </row>
    <row r="130" spans="2:59" ht="14.25" customHeight="1">
      <c r="B130" s="2177"/>
      <c r="C130" s="2178"/>
      <c r="D130" s="2178"/>
      <c r="E130" s="2178"/>
      <c r="F130" s="2178"/>
      <c r="G130" s="2264" t="s">
        <v>879</v>
      </c>
      <c r="H130" s="2181"/>
      <c r="I130" s="2181"/>
      <c r="J130" s="2181"/>
      <c r="K130" s="2261" t="s">
        <v>720</v>
      </c>
      <c r="L130" s="2262"/>
      <c r="M130" s="2263"/>
      <c r="N130" s="313"/>
      <c r="O130" s="2247"/>
      <c r="P130" s="2152"/>
      <c r="Q130" s="2153"/>
      <c r="R130" s="2153"/>
      <c r="S130" s="2153"/>
      <c r="T130" s="2153"/>
      <c r="U130" s="2153"/>
      <c r="V130" s="2153"/>
      <c r="W130" s="2154"/>
      <c r="X130" s="408"/>
      <c r="Y130" s="408"/>
      <c r="Z130" s="408"/>
      <c r="AA130" s="285"/>
      <c r="AG130" s="286"/>
      <c r="AH130" s="286"/>
      <c r="AI130" s="286"/>
      <c r="AJ130" s="286"/>
      <c r="AK130" s="286"/>
      <c r="AL130" s="15"/>
    </row>
    <row r="131" spans="2:59" ht="6" customHeight="1" thickBot="1">
      <c r="B131" s="2177"/>
      <c r="C131" s="2178"/>
      <c r="D131" s="2178"/>
      <c r="E131" s="2178"/>
      <c r="F131" s="2178"/>
      <c r="G131" s="321"/>
      <c r="H131" s="313"/>
      <c r="I131" s="313"/>
      <c r="J131" s="313"/>
      <c r="K131" s="313"/>
      <c r="L131" s="313"/>
      <c r="M131" s="313"/>
      <c r="N131" s="313"/>
      <c r="O131" s="2247"/>
      <c r="P131" s="2152"/>
      <c r="Q131" s="2153"/>
      <c r="R131" s="2153"/>
      <c r="S131" s="2153"/>
      <c r="T131" s="2153"/>
      <c r="U131" s="2153"/>
      <c r="V131" s="2153"/>
      <c r="W131" s="2154"/>
      <c r="X131" s="408"/>
      <c r="Y131" s="408"/>
      <c r="Z131" s="408"/>
      <c r="AA131" s="285"/>
      <c r="AG131" s="286"/>
      <c r="AH131" s="286"/>
      <c r="AI131" s="286"/>
      <c r="AJ131" s="286"/>
      <c r="AK131" s="286"/>
      <c r="AL131" s="15"/>
    </row>
    <row r="132" spans="2:59" ht="6" customHeight="1" thickTop="1">
      <c r="B132" s="2177"/>
      <c r="C132" s="2178"/>
      <c r="D132" s="2178"/>
      <c r="E132" s="2178"/>
      <c r="F132" s="2178"/>
      <c r="G132" s="321"/>
      <c r="H132" s="325"/>
      <c r="I132" s="325"/>
      <c r="J132" s="325"/>
      <c r="K132" s="325"/>
      <c r="L132" s="325"/>
      <c r="M132" s="325"/>
      <c r="N132" s="313"/>
      <c r="O132" s="2247"/>
      <c r="P132" s="2106"/>
      <c r="Q132" s="2107"/>
      <c r="R132" s="2107"/>
      <c r="S132" s="2107"/>
      <c r="T132" s="2107"/>
      <c r="U132" s="2107"/>
      <c r="V132" s="2107"/>
      <c r="W132" s="2108"/>
      <c r="X132" s="409"/>
      <c r="Y132" s="409"/>
      <c r="Z132" s="409"/>
      <c r="AA132" s="285"/>
      <c r="AG132" s="286"/>
      <c r="AH132" s="286"/>
      <c r="AI132" s="286"/>
      <c r="AJ132" s="286"/>
      <c r="AK132" s="286"/>
      <c r="AL132" s="15"/>
    </row>
    <row r="133" spans="2:59" ht="14.25" customHeight="1">
      <c r="B133" s="2177"/>
      <c r="C133" s="2178"/>
      <c r="D133" s="2178"/>
      <c r="E133" s="2178"/>
      <c r="F133" s="2178"/>
      <c r="G133" s="320"/>
      <c r="H133" s="2181" t="s">
        <v>872</v>
      </c>
      <c r="I133" s="2181"/>
      <c r="J133" s="2181"/>
      <c r="K133" s="2181"/>
      <c r="L133" s="2182">
        <f>'A(2)-Uses Statement'!$M$79</f>
        <v>0</v>
      </c>
      <c r="M133" s="2183"/>
      <c r="N133" s="313"/>
      <c r="O133" s="2247"/>
      <c r="P133" s="2106"/>
      <c r="Q133" s="2107"/>
      <c r="R133" s="2107"/>
      <c r="S133" s="2107"/>
      <c r="T133" s="2107"/>
      <c r="U133" s="2107"/>
      <c r="V133" s="2107"/>
      <c r="W133" s="2108"/>
      <c r="X133" s="409"/>
      <c r="Y133" s="409"/>
      <c r="Z133" s="409"/>
      <c r="AA133" s="285"/>
      <c r="AB133" s="286">
        <f>IF(O129="Please Explain",1,0)</f>
        <v>0</v>
      </c>
      <c r="AC133" s="286">
        <f>IF(P132="",1,0)</f>
        <v>1</v>
      </c>
      <c r="AD133" s="292" t="s">
        <v>720</v>
      </c>
      <c r="AF133" s="326" t="s">
        <v>724</v>
      </c>
      <c r="AG133" s="326" t="s">
        <v>725</v>
      </c>
      <c r="AH133" s="326" t="s">
        <v>726</v>
      </c>
      <c r="AI133" s="286"/>
      <c r="AJ133" s="286"/>
      <c r="AK133" s="286"/>
      <c r="AL133" s="15"/>
    </row>
    <row r="134" spans="2:59" ht="10.5" customHeight="1">
      <c r="B134" s="2177"/>
      <c r="C134" s="2178"/>
      <c r="D134" s="2178"/>
      <c r="E134" s="2178"/>
      <c r="F134" s="2178"/>
      <c r="G134" s="321"/>
      <c r="H134" s="412"/>
      <c r="I134" s="412"/>
      <c r="J134" s="412"/>
      <c r="K134" s="412"/>
      <c r="L134" s="2103" t="s">
        <v>131</v>
      </c>
      <c r="M134" s="2103"/>
      <c r="N134" s="313"/>
      <c r="O134" s="2247"/>
      <c r="P134" s="2106"/>
      <c r="Q134" s="2107"/>
      <c r="R134" s="2107"/>
      <c r="S134" s="2107"/>
      <c r="T134" s="2107"/>
      <c r="U134" s="2107"/>
      <c r="V134" s="2107"/>
      <c r="W134" s="2108"/>
      <c r="X134" s="409"/>
      <c r="Y134" s="409"/>
      <c r="Z134" s="409"/>
      <c r="AA134" s="285"/>
      <c r="AD134" s="292" t="s">
        <v>724</v>
      </c>
      <c r="AE134" s="286">
        <f>IF(K130=AD133,0,IF(K130=AD134,1,IF(K130=AD135,2,IF(K130=AD136,3))))</f>
        <v>0</v>
      </c>
      <c r="AF134" s="286" t="str">
        <f>IF(L137&lt;=0.3,"OK","Please Explain")</f>
        <v>Please Explain</v>
      </c>
      <c r="AG134" s="286" t="str">
        <f>IF(L137&lt;=0.25,"OK","Please Explain")</f>
        <v>Please Explain</v>
      </c>
      <c r="AH134" s="286" t="str">
        <f>IF(L137&lt;=0.2,"OK","Please Explain")</f>
        <v>Please Explain</v>
      </c>
      <c r="AI134" s="286"/>
      <c r="AJ134" s="286"/>
      <c r="AK134" s="286"/>
      <c r="AL134" s="15"/>
    </row>
    <row r="135" spans="2:59" ht="14.25" customHeight="1">
      <c r="B135" s="2177"/>
      <c r="C135" s="2178"/>
      <c r="D135" s="2178"/>
      <c r="E135" s="2178"/>
      <c r="F135" s="2178"/>
      <c r="G135" s="320"/>
      <c r="H135" s="2181" t="s">
        <v>873</v>
      </c>
      <c r="I135" s="2181"/>
      <c r="J135" s="2181"/>
      <c r="K135" s="2181"/>
      <c r="L135" s="2182">
        <f>'A(2)-Uses Statement'!$M$81</f>
        <v>0</v>
      </c>
      <c r="M135" s="2183"/>
      <c r="N135" s="313"/>
      <c r="O135" s="2247"/>
      <c r="P135" s="2106"/>
      <c r="Q135" s="2107"/>
      <c r="R135" s="2107"/>
      <c r="S135" s="2107"/>
      <c r="T135" s="2107"/>
      <c r="U135" s="2107"/>
      <c r="V135" s="2107"/>
      <c r="W135" s="2108"/>
      <c r="X135" s="409"/>
      <c r="Y135" s="409"/>
      <c r="Z135" s="409"/>
      <c r="AA135" s="285"/>
      <c r="AD135" s="292" t="s">
        <v>725</v>
      </c>
      <c r="AG135" s="286"/>
      <c r="AH135" s="286"/>
      <c r="AI135" s="286"/>
      <c r="AJ135" s="292"/>
      <c r="AK135" s="292"/>
      <c r="AL135" s="98"/>
      <c r="AM135" s="292"/>
      <c r="AN135" s="292"/>
      <c r="AO135" s="292"/>
      <c r="AP135" s="292"/>
    </row>
    <row r="136" spans="2:59" ht="10.5" customHeight="1">
      <c r="B136" s="2177"/>
      <c r="C136" s="2178"/>
      <c r="D136" s="2178"/>
      <c r="E136" s="2178"/>
      <c r="F136" s="2178"/>
      <c r="G136" s="320"/>
      <c r="H136" s="412"/>
      <c r="I136" s="412"/>
      <c r="J136" s="412"/>
      <c r="K136" s="412"/>
      <c r="L136" s="2277" t="s">
        <v>133</v>
      </c>
      <c r="M136" s="2103"/>
      <c r="N136" s="313"/>
      <c r="O136" s="2247"/>
      <c r="P136" s="2106"/>
      <c r="Q136" s="2107"/>
      <c r="R136" s="2107"/>
      <c r="S136" s="2107"/>
      <c r="T136" s="2107"/>
      <c r="U136" s="2107"/>
      <c r="V136" s="2107"/>
      <c r="W136" s="2108"/>
      <c r="X136" s="409"/>
      <c r="Y136" s="409"/>
      <c r="Z136" s="409"/>
      <c r="AA136" s="285"/>
      <c r="AD136" s="292" t="s">
        <v>726</v>
      </c>
      <c r="AG136" s="286"/>
      <c r="AH136" s="286"/>
      <c r="AI136" s="286"/>
      <c r="AJ136" s="292"/>
      <c r="AK136" s="292"/>
      <c r="AL136" s="98"/>
      <c r="AM136" s="98"/>
      <c r="AN136" s="98"/>
      <c r="AO136" s="98"/>
      <c r="AP136" s="292"/>
      <c r="AQ136" s="292"/>
      <c r="AR136" s="292"/>
      <c r="AS136" s="292"/>
    </row>
    <row r="137" spans="2:59" ht="14.25" customHeight="1">
      <c r="B137" s="2177"/>
      <c r="C137" s="2178"/>
      <c r="D137" s="2178"/>
      <c r="E137" s="2178"/>
      <c r="F137" s="2178"/>
      <c r="G137" s="320"/>
      <c r="H137" s="294"/>
      <c r="I137" s="294"/>
      <c r="J137" s="294"/>
      <c r="K137" s="298"/>
      <c r="L137" s="2104" t="str">
        <f>IFERROR(ROUND(L133/L135,4),"")</f>
        <v/>
      </c>
      <c r="M137" s="2105"/>
      <c r="N137" s="313"/>
      <c r="O137" s="2247"/>
      <c r="P137" s="2106"/>
      <c r="Q137" s="2107"/>
      <c r="R137" s="2107"/>
      <c r="S137" s="2107"/>
      <c r="T137" s="2107"/>
      <c r="U137" s="2107"/>
      <c r="V137" s="2107"/>
      <c r="W137" s="2108"/>
      <c r="X137" s="409"/>
      <c r="Y137" s="409"/>
      <c r="Z137" s="409"/>
      <c r="AA137" s="285"/>
      <c r="AG137" s="286"/>
      <c r="AH137" s="286"/>
      <c r="AI137" s="286"/>
      <c r="AJ137" s="286"/>
      <c r="AK137" s="292"/>
      <c r="AL137" s="326" t="s">
        <v>732</v>
      </c>
      <c r="AM137" s="326" t="s">
        <v>27</v>
      </c>
      <c r="AN137" s="107" t="s">
        <v>28</v>
      </c>
      <c r="AO137" s="107" t="s">
        <v>800</v>
      </c>
      <c r="AP137" s="107" t="s">
        <v>801</v>
      </c>
      <c r="AQ137" s="107"/>
      <c r="AR137" s="326" t="s">
        <v>799</v>
      </c>
      <c r="AS137" s="292"/>
      <c r="AT137" s="292"/>
      <c r="AU137" s="292"/>
    </row>
    <row r="138" spans="2:59" ht="12.75" customHeight="1">
      <c r="B138" s="2179"/>
      <c r="C138" s="2180"/>
      <c r="D138" s="2180"/>
      <c r="E138" s="2180"/>
      <c r="F138" s="2180"/>
      <c r="G138" s="324"/>
      <c r="H138" s="327"/>
      <c r="I138" s="327"/>
      <c r="J138" s="327"/>
      <c r="K138" s="327"/>
      <c r="L138" s="302"/>
      <c r="M138" s="302"/>
      <c r="N138" s="302"/>
      <c r="O138" s="2248"/>
      <c r="P138" s="2109"/>
      <c r="Q138" s="2110"/>
      <c r="R138" s="2110"/>
      <c r="S138" s="2110"/>
      <c r="T138" s="2110"/>
      <c r="U138" s="2110"/>
      <c r="V138" s="2110"/>
      <c r="W138" s="2111"/>
      <c r="X138" s="409"/>
      <c r="Y138" s="409"/>
      <c r="Z138" s="409"/>
      <c r="AA138" s="285"/>
      <c r="AG138" s="286"/>
      <c r="AH138" s="286"/>
      <c r="AI138" s="286"/>
      <c r="AJ138" s="286"/>
      <c r="AK138" s="292">
        <f>IF(AN138="Permanent Loan",BG138,0)</f>
        <v>0</v>
      </c>
      <c r="AL138" s="328">
        <f>'A(1)-Sources Stmt.'!F35</f>
        <v>0</v>
      </c>
      <c r="AM138" s="292" t="str">
        <f>IF('A(1)-Sources Stmt.'!D35&lt;&gt;"",'A(1)-Sources Stmt.'!D35,"")</f>
        <v/>
      </c>
      <c r="AN138" s="98">
        <f>'A(1)-Sources Stmt.'!G35</f>
        <v>0</v>
      </c>
      <c r="AO138" s="329">
        <f>'A(1)-Sources Stmt.'!L35</f>
        <v>0</v>
      </c>
      <c r="AP138" s="98">
        <f>'A(1)-Sources Stmt.'!N35</f>
        <v>0</v>
      </c>
      <c r="AQ138" s="98"/>
      <c r="AR138" s="330" t="str">
        <f>IF('A(1)-Sources Stmt.'!G35="Permanent Loan",'A(1)-Sources Stmt.'!P35,"")</f>
        <v/>
      </c>
      <c r="AS138" s="713" t="str">
        <f>IF('A(1)-Sources Stmt.'!G35="Permanent Loan",'A(1)-Sources Stmt.'!Q35,"")</f>
        <v/>
      </c>
      <c r="AT138" s="713" t="str">
        <f>IF(OR(AR138&lt;&gt;"",AS138&lt;&gt;""),MAX(AR138:AS138),"")</f>
        <v/>
      </c>
      <c r="AU138" s="826">
        <f>IF(AR138&lt;&gt;"",1,0)</f>
        <v>0</v>
      </c>
      <c r="AV138" s="826">
        <f t="shared" ref="AV138:AV152" si="7">IF(AN138="Permanent Loan",RANK(BB138,$BB$138:$BB$152,1),0)</f>
        <v>0</v>
      </c>
      <c r="AW138" s="826">
        <f t="shared" ref="AW138:AW152" si="8">IF(AN138="Permanent Loan",SUMPRODUCT(--(AN138&gt;$AM$138:$AM$152)*BE138),0)</f>
        <v>0</v>
      </c>
      <c r="AX138" s="716">
        <f>IF(AN138="Permanent Loan",1,0)</f>
        <v>0</v>
      </c>
      <c r="AY138" s="716">
        <f>COUNTIF(AN138:AN152,"Permanent Loan")</f>
        <v>0</v>
      </c>
      <c r="AZ138" s="716">
        <f t="shared" ref="AZ138:AZ152" si="9">IF(AR138&lt;&gt;"",1,0)</f>
        <v>0</v>
      </c>
      <c r="BA138" s="716"/>
      <c r="BB138" s="716" t="b">
        <f t="shared" ref="BB138:BB152" si="10">IF(AX138&gt;0,COUNTIF($AM$138:$AM$152,"&lt;="&amp;AM138))</f>
        <v>0</v>
      </c>
      <c r="BC138" s="716">
        <f t="shared" ref="BC138:BC152" si="11">IF(AX138&gt;0,RANK(AL138,$AL$138:$AL$152),0)</f>
        <v>0</v>
      </c>
      <c r="BD138" s="716">
        <f>AVERAGE(BB138:BC138)</f>
        <v>0</v>
      </c>
      <c r="BE138" s="40">
        <v>0.01</v>
      </c>
      <c r="BF138" s="40">
        <f>IF(AN138="Permanent Loan",1,0)</f>
        <v>0</v>
      </c>
      <c r="BG138" s="285">
        <f>IF(AN138="Permanent Loan",1,0)</f>
        <v>0</v>
      </c>
    </row>
    <row r="139" spans="2:59" ht="12">
      <c r="F139" s="287"/>
      <c r="G139" s="287"/>
      <c r="W139" s="285"/>
      <c r="X139" s="285"/>
      <c r="Y139" s="285"/>
      <c r="Z139" s="285"/>
      <c r="AA139" s="285"/>
      <c r="AG139" s="286"/>
      <c r="AH139" s="286"/>
      <c r="AI139" s="286"/>
      <c r="AJ139" s="286"/>
      <c r="AK139" s="292">
        <f t="shared" ref="AK139:AK152" si="12">IF(AN139="Permanent Loan",BG139,0)</f>
        <v>0</v>
      </c>
      <c r="AL139" s="328">
        <f>'A(1)-Sources Stmt.'!F36</f>
        <v>0</v>
      </c>
      <c r="AM139" s="292" t="str">
        <f>IF('A(1)-Sources Stmt.'!D36&lt;&gt;"",'A(1)-Sources Stmt.'!D36,"")</f>
        <v/>
      </c>
      <c r="AN139" s="98">
        <f>'A(1)-Sources Stmt.'!G36</f>
        <v>0</v>
      </c>
      <c r="AO139" s="329">
        <f>'A(1)-Sources Stmt.'!L36</f>
        <v>0</v>
      </c>
      <c r="AP139" s="98">
        <f>'A(1)-Sources Stmt.'!N36</f>
        <v>0</v>
      </c>
      <c r="AQ139" s="98"/>
      <c r="AR139" s="330" t="str">
        <f>IF('A(1)-Sources Stmt.'!G36="Permanent Loan",'A(1)-Sources Stmt.'!P36,"")</f>
        <v/>
      </c>
      <c r="AS139" s="713" t="str">
        <f>IF('A(1)-Sources Stmt.'!G36="Permanent Loan",'A(1)-Sources Stmt.'!Q36,"")</f>
        <v/>
      </c>
      <c r="AT139" s="713" t="str">
        <f t="shared" ref="AT139:AT152" si="13">IF(OR(AR139&lt;&gt;"",AS139&lt;&gt;""),MAX(AR139:AS139),"")</f>
        <v/>
      </c>
      <c r="AU139" s="826">
        <f t="shared" ref="AU139:AU152" si="14">IF(AR139&lt;&gt;"",1,0)</f>
        <v>0</v>
      </c>
      <c r="AV139" s="826">
        <f t="shared" si="7"/>
        <v>0</v>
      </c>
      <c r="AW139" s="826">
        <f t="shared" si="8"/>
        <v>0</v>
      </c>
      <c r="AX139" s="716">
        <f t="shared" ref="AX139:AX152" si="15">IF(AN139="Permanent Loan",1,0)</f>
        <v>0</v>
      </c>
      <c r="AY139" s="826"/>
      <c r="AZ139" s="716">
        <f t="shared" si="9"/>
        <v>0</v>
      </c>
      <c r="BA139" s="716"/>
      <c r="BB139" s="716" t="b">
        <f t="shared" si="10"/>
        <v>0</v>
      </c>
      <c r="BC139" s="716">
        <f t="shared" si="11"/>
        <v>0</v>
      </c>
      <c r="BD139" s="716">
        <f t="shared" ref="BD139:BD152" si="16">AVERAGE(BB139:BC139)</f>
        <v>0</v>
      </c>
      <c r="BE139" s="40">
        <v>0.02</v>
      </c>
      <c r="BF139" s="956">
        <f t="shared" ref="BF139:BF152" si="17">IF(AN139="Permanent Loan",1,0)</f>
        <v>0</v>
      </c>
      <c r="BG139" s="285">
        <f>IF(AN139="Permanent Loan",(MAX(BG138)+1),0)</f>
        <v>0</v>
      </c>
    </row>
    <row r="140" spans="2:59" ht="12">
      <c r="F140" s="287"/>
      <c r="G140" s="287"/>
      <c r="W140" s="285"/>
      <c r="X140" s="285"/>
      <c r="Y140" s="285"/>
      <c r="Z140" s="285"/>
      <c r="AA140" s="285"/>
      <c r="AG140" s="286"/>
      <c r="AH140" s="286"/>
      <c r="AI140" s="286"/>
      <c r="AJ140" s="286"/>
      <c r="AK140" s="292">
        <f t="shared" si="12"/>
        <v>0</v>
      </c>
      <c r="AL140" s="328">
        <f>'A(1)-Sources Stmt.'!F37</f>
        <v>0</v>
      </c>
      <c r="AM140" s="292" t="str">
        <f>IF('A(1)-Sources Stmt.'!D37&lt;&gt;"",'A(1)-Sources Stmt.'!D37,"")</f>
        <v/>
      </c>
      <c r="AN140" s="98">
        <f>'A(1)-Sources Stmt.'!G37</f>
        <v>0</v>
      </c>
      <c r="AO140" s="329">
        <f>'A(1)-Sources Stmt.'!L37</f>
        <v>0</v>
      </c>
      <c r="AP140" s="98">
        <f>'A(1)-Sources Stmt.'!N37</f>
        <v>0</v>
      </c>
      <c r="AQ140" s="98"/>
      <c r="AR140" s="330" t="str">
        <f>IF('A(1)-Sources Stmt.'!G37="Permanent Loan",'A(1)-Sources Stmt.'!P37,"")</f>
        <v/>
      </c>
      <c r="AS140" s="713" t="str">
        <f>IF('A(1)-Sources Stmt.'!G37="Permanent Loan",'A(1)-Sources Stmt.'!Q37,"")</f>
        <v/>
      </c>
      <c r="AT140" s="713" t="str">
        <f t="shared" si="13"/>
        <v/>
      </c>
      <c r="AU140" s="826">
        <f t="shared" si="14"/>
        <v>0</v>
      </c>
      <c r="AV140" s="826">
        <f t="shared" si="7"/>
        <v>0</v>
      </c>
      <c r="AW140" s="826">
        <f t="shared" si="8"/>
        <v>0</v>
      </c>
      <c r="AX140" s="716">
        <f t="shared" si="15"/>
        <v>0</v>
      </c>
      <c r="AY140" s="826"/>
      <c r="AZ140" s="716">
        <f t="shared" si="9"/>
        <v>0</v>
      </c>
      <c r="BA140" s="716"/>
      <c r="BB140" s="716" t="b">
        <f t="shared" si="10"/>
        <v>0</v>
      </c>
      <c r="BC140" s="716">
        <f t="shared" si="11"/>
        <v>0</v>
      </c>
      <c r="BD140" s="716">
        <f t="shared" si="16"/>
        <v>0</v>
      </c>
      <c r="BE140" s="40">
        <v>0.03</v>
      </c>
      <c r="BF140" s="956">
        <f t="shared" si="17"/>
        <v>0</v>
      </c>
      <c r="BG140" s="285">
        <f>IF(AN140="Permanent Loan",(MAX(BG138:BG139)+1),0)</f>
        <v>0</v>
      </c>
    </row>
    <row r="141" spans="2:59" ht="18.75">
      <c r="B141" s="2061" t="s">
        <v>1117</v>
      </c>
      <c r="C141" s="2061"/>
      <c r="D141" s="2061"/>
      <c r="E141" s="2061"/>
      <c r="F141" s="2061"/>
      <c r="G141" s="2061"/>
      <c r="H141" s="2061"/>
      <c r="I141" s="2061"/>
      <c r="J141" s="2061"/>
      <c r="K141" s="2061"/>
      <c r="L141" s="2061"/>
      <c r="M141" s="2061"/>
      <c r="N141" s="2061"/>
      <c r="O141" s="2061"/>
      <c r="P141" s="2061"/>
      <c r="Q141" s="2061"/>
      <c r="R141" s="2061"/>
      <c r="S141" s="2061"/>
      <c r="T141" s="2061"/>
      <c r="U141" s="2061"/>
      <c r="V141" s="410"/>
      <c r="W141" s="410"/>
      <c r="X141" s="410"/>
      <c r="Y141" s="410"/>
      <c r="Z141" s="410"/>
      <c r="AA141" s="285"/>
      <c r="AG141" s="286"/>
      <c r="AH141" s="286"/>
      <c r="AI141" s="286"/>
      <c r="AJ141" s="286"/>
      <c r="AK141" s="292">
        <f t="shared" si="12"/>
        <v>0</v>
      </c>
      <c r="AL141" s="328">
        <f>'A(1)-Sources Stmt.'!F38</f>
        <v>0</v>
      </c>
      <c r="AM141" s="292" t="str">
        <f>IF('A(1)-Sources Stmt.'!D38&lt;&gt;"",'A(1)-Sources Stmt.'!D38,"")</f>
        <v/>
      </c>
      <c r="AN141" s="98">
        <f>'A(1)-Sources Stmt.'!G38</f>
        <v>0</v>
      </c>
      <c r="AO141" s="329">
        <f>'A(1)-Sources Stmt.'!L38</f>
        <v>0</v>
      </c>
      <c r="AP141" s="98">
        <f>'A(1)-Sources Stmt.'!N38</f>
        <v>0</v>
      </c>
      <c r="AQ141" s="98"/>
      <c r="AR141" s="330" t="str">
        <f>IF('A(1)-Sources Stmt.'!G38="Permanent Loan",'A(1)-Sources Stmt.'!P38,"")</f>
        <v/>
      </c>
      <c r="AS141" s="713" t="str">
        <f>IF('A(1)-Sources Stmt.'!G38="Permanent Loan",'A(1)-Sources Stmt.'!Q38,"")</f>
        <v/>
      </c>
      <c r="AT141" s="713" t="str">
        <f t="shared" si="13"/>
        <v/>
      </c>
      <c r="AU141" s="826">
        <f t="shared" si="14"/>
        <v>0</v>
      </c>
      <c r="AV141" s="826">
        <f t="shared" si="7"/>
        <v>0</v>
      </c>
      <c r="AW141" s="826">
        <f t="shared" si="8"/>
        <v>0</v>
      </c>
      <c r="AX141" s="716">
        <f t="shared" si="15"/>
        <v>0</v>
      </c>
      <c r="AY141" s="826"/>
      <c r="AZ141" s="716">
        <f t="shared" si="9"/>
        <v>0</v>
      </c>
      <c r="BA141" s="716"/>
      <c r="BB141" s="716" t="b">
        <f t="shared" si="10"/>
        <v>0</v>
      </c>
      <c r="BC141" s="716">
        <f t="shared" si="11"/>
        <v>0</v>
      </c>
      <c r="BD141" s="716">
        <f t="shared" si="16"/>
        <v>0</v>
      </c>
      <c r="BE141" s="40">
        <v>0.04</v>
      </c>
      <c r="BF141" s="956">
        <f t="shared" si="17"/>
        <v>0</v>
      </c>
      <c r="BG141" s="285">
        <f>IF(AN141="Permanent Loan",(MAX(BG138:BG140)+1),0)</f>
        <v>0</v>
      </c>
    </row>
    <row r="142" spans="2:59" ht="12.75" customHeight="1">
      <c r="C142" s="2172" t="s">
        <v>803</v>
      </c>
      <c r="D142" s="2172"/>
      <c r="E142" s="2172"/>
      <c r="F142" s="2172"/>
      <c r="G142" s="2172"/>
      <c r="H142" s="2172"/>
      <c r="I142" s="2172"/>
      <c r="J142" s="2172"/>
      <c r="K142" s="2172"/>
      <c r="L142" s="2172"/>
      <c r="M142" s="2172"/>
      <c r="N142" s="2172"/>
      <c r="O142" s="2172"/>
      <c r="P142" s="2172"/>
      <c r="Q142" s="2172"/>
      <c r="R142" s="2172"/>
      <c r="S142" s="2172"/>
      <c r="T142" s="2172"/>
      <c r="U142" s="331"/>
      <c r="V142" s="331"/>
      <c r="W142" s="331"/>
      <c r="X142" s="331"/>
      <c r="Y142" s="331"/>
      <c r="Z142" s="331"/>
      <c r="AA142" s="779"/>
      <c r="AD142" s="332">
        <f>IF(OR(E146&lt;&gt;" ",E147&lt;&gt;" ",E148&lt;&gt;" ",E152&lt;&gt;" "),1,0)</f>
        <v>0</v>
      </c>
      <c r="AE142" s="332">
        <f>IF(OR(H146&lt;&gt;" ",H147&lt;&gt;" ",H148&lt;&gt;" ",H152&lt;&gt;" "),1,0)</f>
        <v>0</v>
      </c>
      <c r="AF142" s="332">
        <f>IF(OR(K146&lt;&gt;" ",K147&lt;&gt;" ",K148&lt;&gt;" ",K152&lt;&gt;" "),1,0)</f>
        <v>0</v>
      </c>
      <c r="AG142" s="332">
        <f>IF(OR(N146&lt;&gt;" ",N147&lt;&gt;" ",N148&lt;&gt;" ",N152&lt;&gt;" "),1,0)</f>
        <v>0</v>
      </c>
      <c r="AH142" s="332">
        <f>IF(OR(S146&lt;&gt;" ",S147&lt;&gt;" ",S148&lt;&gt;" ",S152&lt;&gt;" "),1,0)</f>
        <v>0</v>
      </c>
      <c r="AI142" s="286"/>
      <c r="AJ142" s="286"/>
      <c r="AK142" s="292">
        <f t="shared" si="12"/>
        <v>0</v>
      </c>
      <c r="AL142" s="328">
        <f>'A(1)-Sources Stmt.'!F39</f>
        <v>0</v>
      </c>
      <c r="AM142" s="292" t="str">
        <f>IF('A(1)-Sources Stmt.'!D39&lt;&gt;"",'A(1)-Sources Stmt.'!D39,"")</f>
        <v/>
      </c>
      <c r="AN142" s="98">
        <f>'A(1)-Sources Stmt.'!G39</f>
        <v>0</v>
      </c>
      <c r="AO142" s="329">
        <f>'A(1)-Sources Stmt.'!L39</f>
        <v>0</v>
      </c>
      <c r="AP142" s="98">
        <f>'A(1)-Sources Stmt.'!N39</f>
        <v>0</v>
      </c>
      <c r="AQ142" s="98"/>
      <c r="AR142" s="330" t="str">
        <f>IF('A(1)-Sources Stmt.'!G39="Permanent Loan",'A(1)-Sources Stmt.'!P39,"")</f>
        <v/>
      </c>
      <c r="AS142" s="713" t="str">
        <f>IF('A(1)-Sources Stmt.'!G39="Permanent Loan",'A(1)-Sources Stmt.'!Q39,"")</f>
        <v/>
      </c>
      <c r="AT142" s="713" t="str">
        <f t="shared" si="13"/>
        <v/>
      </c>
      <c r="AU142" s="826">
        <f t="shared" si="14"/>
        <v>0</v>
      </c>
      <c r="AV142" s="826">
        <f t="shared" si="7"/>
        <v>0</v>
      </c>
      <c r="AW142" s="826">
        <f t="shared" si="8"/>
        <v>0</v>
      </c>
      <c r="AX142" s="716">
        <f t="shared" si="15"/>
        <v>0</v>
      </c>
      <c r="AY142" s="826"/>
      <c r="AZ142" s="716">
        <f t="shared" si="9"/>
        <v>0</v>
      </c>
      <c r="BA142" s="716"/>
      <c r="BB142" s="716" t="b">
        <f t="shared" si="10"/>
        <v>0</v>
      </c>
      <c r="BC142" s="716">
        <f t="shared" si="11"/>
        <v>0</v>
      </c>
      <c r="BD142" s="716">
        <f t="shared" si="16"/>
        <v>0</v>
      </c>
      <c r="BE142" s="40">
        <v>0.05</v>
      </c>
      <c r="BF142" s="956">
        <f t="shared" si="17"/>
        <v>0</v>
      </c>
      <c r="BG142" s="285">
        <f>IF(AN142="Permanent Loan",(MAX(BG138:BG141)+1),0)</f>
        <v>0</v>
      </c>
    </row>
    <row r="143" spans="2:59" ht="3" customHeight="1">
      <c r="G143" s="287"/>
      <c r="W143" s="285"/>
      <c r="X143" s="285"/>
      <c r="Y143" s="285"/>
      <c r="Z143" s="285"/>
      <c r="AA143" s="285"/>
      <c r="AG143" s="286"/>
      <c r="AH143" s="286"/>
      <c r="AI143" s="286"/>
      <c r="AJ143" s="286"/>
      <c r="AK143" s="292">
        <f t="shared" si="12"/>
        <v>0</v>
      </c>
      <c r="AL143" s="328">
        <f>'A(1)-Sources Stmt.'!F40</f>
        <v>0</v>
      </c>
      <c r="AM143" s="292" t="str">
        <f>IF('A(1)-Sources Stmt.'!D40&lt;&gt;"",'A(1)-Sources Stmt.'!D40,"")</f>
        <v/>
      </c>
      <c r="AN143" s="98">
        <f>'A(1)-Sources Stmt.'!G40</f>
        <v>0</v>
      </c>
      <c r="AO143" s="329">
        <f>'A(1)-Sources Stmt.'!L40</f>
        <v>0</v>
      </c>
      <c r="AP143" s="98">
        <f>'A(1)-Sources Stmt.'!N40</f>
        <v>0</v>
      </c>
      <c r="AQ143" s="98"/>
      <c r="AR143" s="330" t="str">
        <f>IF('A(1)-Sources Stmt.'!G40="Permanent Loan",'A(1)-Sources Stmt.'!P40,"")</f>
        <v/>
      </c>
      <c r="AS143" s="713" t="str">
        <f>IF('A(1)-Sources Stmt.'!G40="Permanent Loan",'A(1)-Sources Stmt.'!Q40,"")</f>
        <v/>
      </c>
      <c r="AT143" s="713" t="str">
        <f t="shared" si="13"/>
        <v/>
      </c>
      <c r="AU143" s="826">
        <f t="shared" si="14"/>
        <v>0</v>
      </c>
      <c r="AV143" s="826">
        <f t="shared" si="7"/>
        <v>0</v>
      </c>
      <c r="AW143" s="826">
        <f t="shared" si="8"/>
        <v>0</v>
      </c>
      <c r="AX143" s="716">
        <f t="shared" si="15"/>
        <v>0</v>
      </c>
      <c r="AY143" s="826"/>
      <c r="AZ143" s="716">
        <f t="shared" si="9"/>
        <v>0</v>
      </c>
      <c r="BA143" s="716"/>
      <c r="BB143" s="716" t="b">
        <f t="shared" si="10"/>
        <v>0</v>
      </c>
      <c r="BC143" s="716">
        <f t="shared" si="11"/>
        <v>0</v>
      </c>
      <c r="BD143" s="716">
        <f t="shared" si="16"/>
        <v>0</v>
      </c>
      <c r="BE143" s="40">
        <v>0.06</v>
      </c>
      <c r="BF143" s="956">
        <f t="shared" si="17"/>
        <v>0</v>
      </c>
      <c r="BG143" s="285">
        <f>IF(AN143="Permanent Loan",(MAX(BG138:BG142)+1),0)</f>
        <v>0</v>
      </c>
    </row>
    <row r="144" spans="2:59" s="779" customFormat="1" ht="29.25" customHeight="1">
      <c r="C144" s="2257"/>
      <c r="D144" s="2257"/>
      <c r="E144" s="2268" t="str">
        <f>IF(AE155&gt;=1,(VLOOKUP(1,AK138:AR152,3,FALSE))," ")</f>
        <v xml:space="preserve"> </v>
      </c>
      <c r="F144" s="2268"/>
      <c r="G144" s="2268"/>
      <c r="H144" s="2268" t="str">
        <f>IF(AE155&gt;=2,(VLOOKUP(2,AK138:AR152,3,FALSE))," ")</f>
        <v xml:space="preserve"> </v>
      </c>
      <c r="I144" s="2268"/>
      <c r="J144" s="2268"/>
      <c r="K144" s="2268" t="str">
        <f>IF(AE155&gt;=3,(VLOOKUP(3,AK138:AR152,3,FALSE))," ")</f>
        <v xml:space="preserve"> </v>
      </c>
      <c r="L144" s="2268"/>
      <c r="M144" s="2268"/>
      <c r="N144" s="2268" t="str">
        <f>IF(AE155&gt;=4,(VLOOKUP(4,AK138:AR152,3,FALSE))," ")</f>
        <v xml:space="preserve"> </v>
      </c>
      <c r="O144" s="2268"/>
      <c r="P144" s="2268"/>
      <c r="Q144" s="2268"/>
      <c r="R144" s="2268"/>
      <c r="S144" s="2268" t="str">
        <f>IF(AE155&gt;=5,(VLOOKUP(5,AK138:AR152,3,FALSE))," ")</f>
        <v xml:space="preserve"> </v>
      </c>
      <c r="T144" s="2268"/>
      <c r="U144" s="2268"/>
      <c r="V144" s="2268"/>
      <c r="AB144" s="780"/>
      <c r="AC144" s="780"/>
      <c r="AD144" s="780">
        <f>IF(AND($AD$142&gt;0,E145=""),1,0)</f>
        <v>0</v>
      </c>
      <c r="AE144" s="780">
        <f>IF(AND(AE142&gt;0,H145=""),1,0)</f>
        <v>0</v>
      </c>
      <c r="AF144" s="780">
        <f>IF(AND(AF142&gt;0,K145=""),1,0)</f>
        <v>0</v>
      </c>
      <c r="AG144" s="780">
        <f>IF(AND(AG142&gt;0,N145=""),1,0)</f>
        <v>0</v>
      </c>
      <c r="AH144" s="780">
        <f>IF(AND(AH142&gt;0,S145=""),1,0)</f>
        <v>0</v>
      </c>
      <c r="AI144" s="780">
        <f>SUM(AD144:AH144)</f>
        <v>0</v>
      </c>
      <c r="AJ144" s="780"/>
      <c r="AK144" s="292">
        <f t="shared" si="12"/>
        <v>0</v>
      </c>
      <c r="AL144" s="782">
        <f>'A(1)-Sources Stmt.'!F41</f>
        <v>0</v>
      </c>
      <c r="AM144" s="781" t="str">
        <f>IF('A(1)-Sources Stmt.'!D41&lt;&gt;"",'A(1)-Sources Stmt.'!D41,"")</f>
        <v/>
      </c>
      <c r="AN144" s="783">
        <f>'A(1)-Sources Stmt.'!G41</f>
        <v>0</v>
      </c>
      <c r="AO144" s="784">
        <f>'A(1)-Sources Stmt.'!L41</f>
        <v>0</v>
      </c>
      <c r="AP144" s="783">
        <f>'A(1)-Sources Stmt.'!N41</f>
        <v>0</v>
      </c>
      <c r="AQ144" s="783"/>
      <c r="AR144" s="785" t="str">
        <f>IF('A(1)-Sources Stmt.'!G41="Permanent Loan",'A(1)-Sources Stmt.'!P41,"")</f>
        <v/>
      </c>
      <c r="AS144" s="786" t="str">
        <f>IF('A(1)-Sources Stmt.'!G41="Permanent Loan",'A(1)-Sources Stmt.'!Q41,"")</f>
        <v/>
      </c>
      <c r="AT144" s="786" t="str">
        <f t="shared" si="13"/>
        <v/>
      </c>
      <c r="AU144" s="827">
        <f t="shared" si="14"/>
        <v>0</v>
      </c>
      <c r="AV144" s="826">
        <f t="shared" si="7"/>
        <v>0</v>
      </c>
      <c r="AW144" s="826">
        <f t="shared" si="8"/>
        <v>0</v>
      </c>
      <c r="AX144" s="787">
        <f t="shared" si="15"/>
        <v>0</v>
      </c>
      <c r="AY144" s="828"/>
      <c r="AZ144" s="787">
        <f t="shared" si="9"/>
        <v>0</v>
      </c>
      <c r="BA144" s="829"/>
      <c r="BB144" s="716" t="b">
        <f t="shared" si="10"/>
        <v>0</v>
      </c>
      <c r="BC144" s="787">
        <f t="shared" si="11"/>
        <v>0</v>
      </c>
      <c r="BD144" s="787">
        <f t="shared" si="16"/>
        <v>0</v>
      </c>
      <c r="BE144" s="40">
        <v>7.0000000000000007E-2</v>
      </c>
      <c r="BF144" s="956">
        <f t="shared" si="17"/>
        <v>0</v>
      </c>
      <c r="BG144" s="285">
        <f>IF(AN144="Permanent Loan",(MAX(BG138:BG143)+1),0)</f>
        <v>0</v>
      </c>
    </row>
    <row r="145" spans="2:59" s="333" customFormat="1" ht="14.25" customHeight="1">
      <c r="C145" s="2184" t="str">
        <f>IF(AL161&lt;AL160,"Input Lender Name","Lender")</f>
        <v>Lender</v>
      </c>
      <c r="D145" s="2184"/>
      <c r="E145" s="2173"/>
      <c r="F145" s="2173"/>
      <c r="G145" s="2173"/>
      <c r="H145" s="2173"/>
      <c r="I145" s="2173"/>
      <c r="J145" s="2173"/>
      <c r="K145" s="2173"/>
      <c r="L145" s="2173"/>
      <c r="M145" s="2173"/>
      <c r="N145" s="2173"/>
      <c r="O145" s="2173"/>
      <c r="P145" s="2173"/>
      <c r="Q145" s="2173"/>
      <c r="R145" s="2173"/>
      <c r="S145" s="2173"/>
      <c r="T145" s="2173"/>
      <c r="U145" s="2173"/>
      <c r="V145" s="2173"/>
      <c r="AB145" s="332"/>
      <c r="AC145" s="332"/>
      <c r="AD145" s="332">
        <f>IF(AND($AD$142&gt;0,E149=""),1,0)</f>
        <v>0</v>
      </c>
      <c r="AE145" s="332">
        <f>IF(AND($AE$142&gt;0,H149=""),1,0)</f>
        <v>0</v>
      </c>
      <c r="AF145" s="332">
        <f>IF(AND($AF$142&gt;0,K149=""),1,0)</f>
        <v>0</v>
      </c>
      <c r="AG145" s="332">
        <f>IF(AND($AG$142&gt;0,N149=""),1,0)</f>
        <v>0</v>
      </c>
      <c r="AH145" s="332">
        <f>IF(AND($AH$142&gt;0,S149=""),1,0)</f>
        <v>0</v>
      </c>
      <c r="AI145" s="332">
        <f>SUM(AD145:AH145)</f>
        <v>0</v>
      </c>
      <c r="AJ145" s="332"/>
      <c r="AK145" s="292">
        <f t="shared" si="12"/>
        <v>0</v>
      </c>
      <c r="AL145" s="328">
        <f>'A(1)-Sources Stmt.'!F42</f>
        <v>0</v>
      </c>
      <c r="AM145" s="292" t="str">
        <f>IF('A(1)-Sources Stmt.'!D42&lt;&gt;"",'A(1)-Sources Stmt.'!D42,"")</f>
        <v/>
      </c>
      <c r="AN145" s="98">
        <f>'A(1)-Sources Stmt.'!G42</f>
        <v>0</v>
      </c>
      <c r="AO145" s="329">
        <f>'A(1)-Sources Stmt.'!L42</f>
        <v>0</v>
      </c>
      <c r="AP145" s="98">
        <f>'A(1)-Sources Stmt.'!N42</f>
        <v>0</v>
      </c>
      <c r="AQ145" s="98"/>
      <c r="AR145" s="330" t="str">
        <f>IF('A(1)-Sources Stmt.'!G42="Permanent Loan",'A(1)-Sources Stmt.'!P42,"")</f>
        <v/>
      </c>
      <c r="AS145" s="713" t="str">
        <f>IF('A(1)-Sources Stmt.'!G42="Permanent Loan",'A(1)-Sources Stmt.'!Q42,"")</f>
        <v/>
      </c>
      <c r="AT145" s="713" t="str">
        <f t="shared" si="13"/>
        <v/>
      </c>
      <c r="AU145" s="826">
        <f t="shared" si="14"/>
        <v>0</v>
      </c>
      <c r="AV145" s="826">
        <f t="shared" si="7"/>
        <v>0</v>
      </c>
      <c r="AW145" s="826">
        <f t="shared" si="8"/>
        <v>0</v>
      </c>
      <c r="AX145" s="716">
        <f t="shared" si="15"/>
        <v>0</v>
      </c>
      <c r="AY145" s="830"/>
      <c r="AZ145" s="716">
        <f t="shared" si="9"/>
        <v>0</v>
      </c>
      <c r="BA145" s="831"/>
      <c r="BB145" s="716" t="b">
        <f t="shared" si="10"/>
        <v>0</v>
      </c>
      <c r="BC145" s="716">
        <f t="shared" si="11"/>
        <v>0</v>
      </c>
      <c r="BD145" s="716">
        <f t="shared" si="16"/>
        <v>0</v>
      </c>
      <c r="BE145" s="40">
        <v>0.08</v>
      </c>
      <c r="BF145" s="956">
        <f t="shared" si="17"/>
        <v>0</v>
      </c>
      <c r="BG145" s="285">
        <f>IF(AN145="Permanent Loan",(MAX(BG138:BG144)+1),0)</f>
        <v>0</v>
      </c>
    </row>
    <row r="146" spans="2:59" s="333" customFormat="1" ht="14.25" customHeight="1">
      <c r="C146" s="2185" t="s">
        <v>139</v>
      </c>
      <c r="D146" s="2185"/>
      <c r="E146" s="2174" t="str">
        <f>IF(AE155&gt;=1,(VLOOKUP(1,AK138:AR152,2,FALSE))," ")</f>
        <v xml:space="preserve"> </v>
      </c>
      <c r="F146" s="2174"/>
      <c r="G146" s="2174"/>
      <c r="H146" s="2174" t="str">
        <f>IF(AE155&gt;=2,(VLOOKUP(2,AK138:AR152,2,FALSE))," ")</f>
        <v xml:space="preserve"> </v>
      </c>
      <c r="I146" s="2174"/>
      <c r="J146" s="2174"/>
      <c r="K146" s="2174" t="str">
        <f>IF(AE155&gt;=3,(VLOOKUP(3,AK138:AR152,2,FALSE))," ")</f>
        <v xml:space="preserve"> </v>
      </c>
      <c r="L146" s="2174"/>
      <c r="M146" s="2174"/>
      <c r="N146" s="2174" t="str">
        <f>IF(AE155&gt;=4,(VLOOKUP(4,AK138:AR152,2,FALSE))," ")</f>
        <v xml:space="preserve"> </v>
      </c>
      <c r="O146" s="2174"/>
      <c r="P146" s="2174"/>
      <c r="Q146" s="2174"/>
      <c r="R146" s="2174"/>
      <c r="S146" s="2174" t="str">
        <f>IF(AE155&gt;=5,(VLOOKUP(5,AK138:AR152,2,FALSE))," ")</f>
        <v xml:space="preserve"> </v>
      </c>
      <c r="T146" s="2174"/>
      <c r="U146" s="2174"/>
      <c r="V146" s="2174"/>
      <c r="AB146" s="332"/>
      <c r="AC146" s="332"/>
      <c r="AD146" s="332">
        <f>IF(AND($AD$142&gt;0,E150=""),1,0)</f>
        <v>0</v>
      </c>
      <c r="AE146" s="332">
        <f>IF(AND($AE$142&gt;0,H150=""),1,0)</f>
        <v>0</v>
      </c>
      <c r="AF146" s="332">
        <f>IF(AND($AF$142&gt;0,K150=""),1,0)</f>
        <v>0</v>
      </c>
      <c r="AG146" s="332">
        <f>IF(AND($AG$142&gt;0,N150=""),1,0)</f>
        <v>0</v>
      </c>
      <c r="AH146" s="332">
        <f>IF(AND($AH$142&gt;0,S150=""),1,0)</f>
        <v>0</v>
      </c>
      <c r="AI146" s="332">
        <f>SUM(AD146:AH146)</f>
        <v>0</v>
      </c>
      <c r="AJ146" s="332"/>
      <c r="AK146" s="292">
        <f t="shared" si="12"/>
        <v>0</v>
      </c>
      <c r="AL146" s="328">
        <f>'A(1)-Sources Stmt.'!F43</f>
        <v>0</v>
      </c>
      <c r="AM146" s="292" t="str">
        <f>IF('A(1)-Sources Stmt.'!D43&lt;&gt;"",'A(1)-Sources Stmt.'!D43,"")</f>
        <v/>
      </c>
      <c r="AN146" s="98">
        <f>'A(1)-Sources Stmt.'!G43</f>
        <v>0</v>
      </c>
      <c r="AO146" s="329">
        <f>'A(1)-Sources Stmt.'!L43</f>
        <v>0</v>
      </c>
      <c r="AP146" s="98">
        <f>'A(1)-Sources Stmt.'!N43</f>
        <v>0</v>
      </c>
      <c r="AQ146" s="98"/>
      <c r="AR146" s="330" t="str">
        <f>IF('A(1)-Sources Stmt.'!G43="Permanent Loan",'A(1)-Sources Stmt.'!P43,"")</f>
        <v/>
      </c>
      <c r="AS146" s="713" t="str">
        <f>IF('A(1)-Sources Stmt.'!G43="Permanent Loan",'A(1)-Sources Stmt.'!Q43,"")</f>
        <v/>
      </c>
      <c r="AT146" s="713" t="str">
        <f t="shared" si="13"/>
        <v/>
      </c>
      <c r="AU146" s="826">
        <f t="shared" si="14"/>
        <v>0</v>
      </c>
      <c r="AV146" s="826">
        <f t="shared" si="7"/>
        <v>0</v>
      </c>
      <c r="AW146" s="826">
        <f t="shared" si="8"/>
        <v>0</v>
      </c>
      <c r="AX146" s="716">
        <f t="shared" si="15"/>
        <v>0</v>
      </c>
      <c r="AY146" s="830"/>
      <c r="AZ146" s="716">
        <f t="shared" si="9"/>
        <v>0</v>
      </c>
      <c r="BA146" s="831"/>
      <c r="BB146" s="716" t="b">
        <f t="shared" si="10"/>
        <v>0</v>
      </c>
      <c r="BC146" s="716">
        <f t="shared" si="11"/>
        <v>0</v>
      </c>
      <c r="BD146" s="716">
        <f t="shared" si="16"/>
        <v>0</v>
      </c>
      <c r="BE146" s="40">
        <v>0.09</v>
      </c>
      <c r="BF146" s="956">
        <f t="shared" si="17"/>
        <v>0</v>
      </c>
      <c r="BG146" s="285">
        <f>IF(AN146="Permanent Loan",(MAX(BG138:BG145)+1),0)</f>
        <v>0</v>
      </c>
    </row>
    <row r="147" spans="2:59" s="333" customFormat="1" ht="14.25" customHeight="1">
      <c r="C147" s="2185" t="s">
        <v>118</v>
      </c>
      <c r="D147" s="2185"/>
      <c r="E147" s="2171" t="str">
        <f>IF(AE155&gt;=1,(VLOOKUP(1,AK138:AR152,5,FALSE))," ")</f>
        <v xml:space="preserve"> </v>
      </c>
      <c r="F147" s="2171"/>
      <c r="G147" s="2171"/>
      <c r="H147" s="2171" t="str">
        <f>IF(AE155&gt;=2,(VLOOKUP(2,AK138:AR152,5,FALSE))," ")</f>
        <v xml:space="preserve"> </v>
      </c>
      <c r="I147" s="2171"/>
      <c r="J147" s="2171"/>
      <c r="K147" s="2171" t="str">
        <f>IF(AE155&gt;=3,(VLOOKUP(3,AK138:AR152,5,FALSE))," ")</f>
        <v xml:space="preserve"> </v>
      </c>
      <c r="L147" s="2171"/>
      <c r="M147" s="2171"/>
      <c r="N147" s="2171" t="str">
        <f>IF(AE155&gt;=4,(VLOOKUP(4,AK138:AR152,5,FALSE))," ")</f>
        <v xml:space="preserve"> </v>
      </c>
      <c r="O147" s="2171"/>
      <c r="P147" s="2171"/>
      <c r="Q147" s="2171"/>
      <c r="R147" s="2171"/>
      <c r="S147" s="2171" t="str">
        <f>IF(AE155&gt;=5,(VLOOKUP(5,AK138:AR152,5,FALSE))," ")</f>
        <v xml:space="preserve"> </v>
      </c>
      <c r="T147" s="2171"/>
      <c r="U147" s="2171"/>
      <c r="V147" s="2171"/>
      <c r="AB147" s="332"/>
      <c r="AC147" s="332"/>
      <c r="AD147" s="332">
        <f>IF(AND($AD$142&gt;0,E151=""),1,0)</f>
        <v>0</v>
      </c>
      <c r="AE147" s="332">
        <f>IF(AND($AE$142&gt;0,H151=""),1,0)</f>
        <v>0</v>
      </c>
      <c r="AF147" s="332">
        <f>IF(AND($AF$142&gt;0,K151=""),1,0)</f>
        <v>0</v>
      </c>
      <c r="AG147" s="332">
        <f>IF(AND($AG$142&gt;0,N151=""),1,0)</f>
        <v>0</v>
      </c>
      <c r="AH147" s="332">
        <f>IF(AND($AH$142&gt;0,S151=""),1,0)</f>
        <v>0</v>
      </c>
      <c r="AI147" s="332">
        <f>SUM(AD147:AH147)</f>
        <v>0</v>
      </c>
      <c r="AJ147" s="332"/>
      <c r="AK147" s="292">
        <f t="shared" si="12"/>
        <v>0</v>
      </c>
      <c r="AL147" s="328">
        <f>'A(1)-Sources Stmt.'!F44</f>
        <v>0</v>
      </c>
      <c r="AM147" s="292" t="str">
        <f>IF('A(1)-Sources Stmt.'!D44&lt;&gt;"",'A(1)-Sources Stmt.'!D44,"")</f>
        <v/>
      </c>
      <c r="AN147" s="98">
        <f>'A(1)-Sources Stmt.'!G44</f>
        <v>0</v>
      </c>
      <c r="AO147" s="329">
        <f>'A(1)-Sources Stmt.'!L44</f>
        <v>0</v>
      </c>
      <c r="AP147" s="98">
        <f>'A(1)-Sources Stmt.'!N44</f>
        <v>0</v>
      </c>
      <c r="AQ147" s="98"/>
      <c r="AR147" s="330" t="str">
        <f>IF('A(1)-Sources Stmt.'!G44="Permanent Loan",'A(1)-Sources Stmt.'!P44,"")</f>
        <v/>
      </c>
      <c r="AS147" s="713" t="str">
        <f>IF('A(1)-Sources Stmt.'!G44="Permanent Loan",'A(1)-Sources Stmt.'!Q44,"")</f>
        <v/>
      </c>
      <c r="AT147" s="713" t="str">
        <f t="shared" si="13"/>
        <v/>
      </c>
      <c r="AU147" s="826">
        <f t="shared" si="14"/>
        <v>0</v>
      </c>
      <c r="AV147" s="826">
        <f t="shared" si="7"/>
        <v>0</v>
      </c>
      <c r="AW147" s="826">
        <f t="shared" si="8"/>
        <v>0</v>
      </c>
      <c r="AX147" s="716">
        <f t="shared" si="15"/>
        <v>0</v>
      </c>
      <c r="AY147" s="830"/>
      <c r="AZ147" s="716">
        <f t="shared" si="9"/>
        <v>0</v>
      </c>
      <c r="BA147" s="831"/>
      <c r="BB147" s="716" t="b">
        <f t="shared" si="10"/>
        <v>0</v>
      </c>
      <c r="BC147" s="716">
        <f t="shared" si="11"/>
        <v>0</v>
      </c>
      <c r="BD147" s="716">
        <f t="shared" si="16"/>
        <v>0</v>
      </c>
      <c r="BE147" s="40">
        <v>0.1</v>
      </c>
      <c r="BF147" s="956">
        <f t="shared" si="17"/>
        <v>0</v>
      </c>
      <c r="BG147" s="285">
        <f>IF(AN147="Permanent Loan",(MAX(BG138:BG146)+1),0)</f>
        <v>0</v>
      </c>
    </row>
    <row r="148" spans="2:59" s="333" customFormat="1" ht="14.25" customHeight="1">
      <c r="C148" s="2185" t="s">
        <v>802</v>
      </c>
      <c r="D148" s="2185"/>
      <c r="E148" s="2170" t="str">
        <f>IF(AE155&gt;=1,(VLOOKUP(1,AK138:AR152,6,FALSE))," ")</f>
        <v xml:space="preserve"> </v>
      </c>
      <c r="F148" s="2170"/>
      <c r="G148" s="2170"/>
      <c r="H148" s="2170" t="str">
        <f>IF(AE155&gt;=2,(VLOOKUP(2,AK138:AR152,6,FALSE))," ")</f>
        <v xml:space="preserve"> </v>
      </c>
      <c r="I148" s="2170"/>
      <c r="J148" s="2170"/>
      <c r="K148" s="2170" t="str">
        <f>IF(AE155&gt;=3,(VLOOKUP(3,AK138:AR152,6,FALSE))," ")</f>
        <v xml:space="preserve"> </v>
      </c>
      <c r="L148" s="2170"/>
      <c r="M148" s="2170"/>
      <c r="N148" s="2170" t="str">
        <f>IF(AE155&gt;=4,(VLOOKUP(4,AK138:AR152,6,FALSE))," ")</f>
        <v xml:space="preserve"> </v>
      </c>
      <c r="O148" s="2170"/>
      <c r="P148" s="2170"/>
      <c r="Q148" s="2170"/>
      <c r="R148" s="2170"/>
      <c r="S148" s="2170" t="str">
        <f>IF(AE155&gt;=5,(VLOOKUP(5,AK138:AR152,6,FALSE))," ")</f>
        <v xml:space="preserve"> </v>
      </c>
      <c r="T148" s="2170"/>
      <c r="U148" s="2170"/>
      <c r="V148" s="2170"/>
      <c r="AB148" s="332"/>
      <c r="AC148" s="332"/>
      <c r="AE148" s="332"/>
      <c r="AF148" s="332"/>
      <c r="AG148" s="332"/>
      <c r="AH148" s="332"/>
      <c r="AI148" s="332"/>
      <c r="AJ148" s="332"/>
      <c r="AK148" s="292">
        <f t="shared" si="12"/>
        <v>0</v>
      </c>
      <c r="AL148" s="328">
        <f>'A(1)-Sources Stmt.'!F45</f>
        <v>0</v>
      </c>
      <c r="AM148" s="292" t="str">
        <f>IF('A(1)-Sources Stmt.'!D45&lt;&gt;"",'A(1)-Sources Stmt.'!D45,"")</f>
        <v/>
      </c>
      <c r="AN148" s="98">
        <f>'A(1)-Sources Stmt.'!G45</f>
        <v>0</v>
      </c>
      <c r="AO148" s="329">
        <f>'A(1)-Sources Stmt.'!L45</f>
        <v>0</v>
      </c>
      <c r="AP148" s="98">
        <f>'A(1)-Sources Stmt.'!N45</f>
        <v>0</v>
      </c>
      <c r="AQ148" s="98"/>
      <c r="AR148" s="330" t="str">
        <f>IF('A(1)-Sources Stmt.'!G45="Permanent Loan",'A(1)-Sources Stmt.'!P45,"")</f>
        <v/>
      </c>
      <c r="AS148" s="713" t="str">
        <f>IF('A(1)-Sources Stmt.'!G45="Permanent Loan",'A(1)-Sources Stmt.'!Q45,"")</f>
        <v/>
      </c>
      <c r="AT148" s="713" t="str">
        <f t="shared" si="13"/>
        <v/>
      </c>
      <c r="AU148" s="826">
        <f t="shared" si="14"/>
        <v>0</v>
      </c>
      <c r="AV148" s="826">
        <f t="shared" si="7"/>
        <v>0</v>
      </c>
      <c r="AW148" s="826">
        <f t="shared" si="8"/>
        <v>0</v>
      </c>
      <c r="AX148" s="716">
        <f t="shared" si="15"/>
        <v>0</v>
      </c>
      <c r="AY148" s="830"/>
      <c r="AZ148" s="716">
        <f t="shared" si="9"/>
        <v>0</v>
      </c>
      <c r="BA148" s="831"/>
      <c r="BB148" s="716" t="b">
        <f t="shared" si="10"/>
        <v>0</v>
      </c>
      <c r="BC148" s="716">
        <f t="shared" si="11"/>
        <v>0</v>
      </c>
      <c r="BD148" s="716">
        <f t="shared" si="16"/>
        <v>0</v>
      </c>
      <c r="BE148" s="40">
        <v>0.11</v>
      </c>
      <c r="BF148" s="956">
        <f t="shared" si="17"/>
        <v>0</v>
      </c>
      <c r="BG148" s="285">
        <f>IF(AN148="Permanent Loan",(MAX(BG138:BG147)+1),0)</f>
        <v>0</v>
      </c>
    </row>
    <row r="149" spans="2:59" s="333" customFormat="1" ht="14.25" customHeight="1">
      <c r="C149" s="2185" t="str">
        <f>IF(AL162&lt;AL160,"Input Points","Points")</f>
        <v>Points</v>
      </c>
      <c r="D149" s="2185"/>
      <c r="E149" s="2250"/>
      <c r="F149" s="2250"/>
      <c r="G149" s="2250"/>
      <c r="H149" s="2249"/>
      <c r="I149" s="2249"/>
      <c r="J149" s="2249"/>
      <c r="K149" s="2249"/>
      <c r="L149" s="2249"/>
      <c r="M149" s="2249"/>
      <c r="N149" s="2249"/>
      <c r="O149" s="2249"/>
      <c r="P149" s="2249"/>
      <c r="Q149" s="2249"/>
      <c r="R149" s="2249"/>
      <c r="S149" s="2249"/>
      <c r="T149" s="2249"/>
      <c r="U149" s="2249"/>
      <c r="V149" s="2249"/>
      <c r="AB149" s="332"/>
      <c r="AC149" s="332"/>
      <c r="AD149" s="332"/>
      <c r="AE149" s="332"/>
      <c r="AF149" s="332"/>
      <c r="AG149" s="332"/>
      <c r="AH149" s="332"/>
      <c r="AI149" s="332"/>
      <c r="AJ149" s="332"/>
      <c r="AK149" s="292">
        <f t="shared" si="12"/>
        <v>0</v>
      </c>
      <c r="AL149" s="328">
        <f>'A(1)-Sources Stmt.'!F46</f>
        <v>0</v>
      </c>
      <c r="AM149" s="292" t="str">
        <f>IF('A(1)-Sources Stmt.'!D46&lt;&gt;"",'A(1)-Sources Stmt.'!D46,"")</f>
        <v/>
      </c>
      <c r="AN149" s="98">
        <f>'A(1)-Sources Stmt.'!G46</f>
        <v>0</v>
      </c>
      <c r="AO149" s="329">
        <f>'A(1)-Sources Stmt.'!L46</f>
        <v>0</v>
      </c>
      <c r="AP149" s="98">
        <f>'A(1)-Sources Stmt.'!N46</f>
        <v>0</v>
      </c>
      <c r="AQ149" s="98"/>
      <c r="AR149" s="330" t="str">
        <f>IF('A(1)-Sources Stmt.'!G46="Permanent Loan",'A(1)-Sources Stmt.'!P46,"")</f>
        <v/>
      </c>
      <c r="AS149" s="713" t="str">
        <f>IF('A(1)-Sources Stmt.'!G46="Permanent Loan",'A(1)-Sources Stmt.'!Q46,"")</f>
        <v/>
      </c>
      <c r="AT149" s="713" t="str">
        <f t="shared" si="13"/>
        <v/>
      </c>
      <c r="AU149" s="826">
        <f t="shared" si="14"/>
        <v>0</v>
      </c>
      <c r="AV149" s="826">
        <f t="shared" si="7"/>
        <v>0</v>
      </c>
      <c r="AW149" s="826">
        <f t="shared" si="8"/>
        <v>0</v>
      </c>
      <c r="AX149" s="716">
        <f t="shared" si="15"/>
        <v>0</v>
      </c>
      <c r="AY149" s="830"/>
      <c r="AZ149" s="716">
        <f t="shared" si="9"/>
        <v>0</v>
      </c>
      <c r="BA149" s="831"/>
      <c r="BB149" s="716" t="b">
        <f t="shared" si="10"/>
        <v>0</v>
      </c>
      <c r="BC149" s="716">
        <f t="shared" si="11"/>
        <v>0</v>
      </c>
      <c r="BD149" s="716">
        <f t="shared" si="16"/>
        <v>0</v>
      </c>
      <c r="BE149" s="40">
        <v>0.12</v>
      </c>
      <c r="BF149" s="956">
        <f t="shared" si="17"/>
        <v>0</v>
      </c>
      <c r="BG149" s="285">
        <f>IF(AN149="Permanent Loan",(MAX(BG138:BG148)+1),0)</f>
        <v>0</v>
      </c>
    </row>
    <row r="150" spans="2:59" s="333" customFormat="1" ht="14.25" customHeight="1">
      <c r="C150" s="2185" t="str">
        <f>IF(AL163&lt;AL160,"Input Fees","Fees")</f>
        <v>Fees</v>
      </c>
      <c r="D150" s="2185"/>
      <c r="E150" s="2190"/>
      <c r="F150" s="2190"/>
      <c r="G150" s="2190"/>
      <c r="H150" s="2189"/>
      <c r="I150" s="2189"/>
      <c r="J150" s="2189"/>
      <c r="K150" s="2189"/>
      <c r="L150" s="2189"/>
      <c r="M150" s="2189"/>
      <c r="N150" s="2189"/>
      <c r="O150" s="2189"/>
      <c r="P150" s="2189"/>
      <c r="Q150" s="2189"/>
      <c r="R150" s="2189"/>
      <c r="S150" s="2189"/>
      <c r="T150" s="2189"/>
      <c r="U150" s="2189"/>
      <c r="V150" s="2189"/>
      <c r="AB150" s="332"/>
      <c r="AC150" s="332"/>
      <c r="AD150" s="332"/>
      <c r="AE150" s="332"/>
      <c r="AF150" s="332"/>
      <c r="AG150" s="332"/>
      <c r="AH150" s="332"/>
      <c r="AI150" s="332"/>
      <c r="AJ150" s="332"/>
      <c r="AK150" s="292">
        <f t="shared" si="12"/>
        <v>0</v>
      </c>
      <c r="AL150" s="328">
        <f>'A(1)-Sources Stmt.'!F47</f>
        <v>0</v>
      </c>
      <c r="AM150" s="292" t="str">
        <f>IF('A(1)-Sources Stmt.'!D47&lt;&gt;"",'A(1)-Sources Stmt.'!D47,"")</f>
        <v/>
      </c>
      <c r="AN150" s="98">
        <f>'A(1)-Sources Stmt.'!G47</f>
        <v>0</v>
      </c>
      <c r="AO150" s="329">
        <f>'A(1)-Sources Stmt.'!L47</f>
        <v>0</v>
      </c>
      <c r="AP150" s="98">
        <f>'A(1)-Sources Stmt.'!N47</f>
        <v>0</v>
      </c>
      <c r="AQ150" s="98"/>
      <c r="AR150" s="330" t="str">
        <f>IF('A(1)-Sources Stmt.'!G47="Permanent Loan",'A(1)-Sources Stmt.'!P47,"")</f>
        <v/>
      </c>
      <c r="AS150" s="713" t="str">
        <f>IF('A(1)-Sources Stmt.'!G47="Permanent Loan",'A(1)-Sources Stmt.'!Q47,"")</f>
        <v/>
      </c>
      <c r="AT150" s="713" t="str">
        <f t="shared" si="13"/>
        <v/>
      </c>
      <c r="AU150" s="826">
        <f t="shared" si="14"/>
        <v>0</v>
      </c>
      <c r="AV150" s="826">
        <f t="shared" si="7"/>
        <v>0</v>
      </c>
      <c r="AW150" s="826">
        <f t="shared" si="8"/>
        <v>0</v>
      </c>
      <c r="AX150" s="716">
        <f t="shared" si="15"/>
        <v>0</v>
      </c>
      <c r="AY150" s="830"/>
      <c r="AZ150" s="716">
        <f t="shared" si="9"/>
        <v>0</v>
      </c>
      <c r="BA150" s="831"/>
      <c r="BB150" s="716" t="b">
        <f t="shared" si="10"/>
        <v>0</v>
      </c>
      <c r="BC150" s="716">
        <f t="shared" si="11"/>
        <v>0</v>
      </c>
      <c r="BD150" s="716">
        <f t="shared" si="16"/>
        <v>0</v>
      </c>
      <c r="BE150" s="40">
        <v>0.13</v>
      </c>
      <c r="BF150" s="956">
        <f t="shared" si="17"/>
        <v>0</v>
      </c>
      <c r="BG150" s="285">
        <f>IF(AN150="Permanent Loan",(MAX(BG138:BG149)+1),0)</f>
        <v>0</v>
      </c>
    </row>
    <row r="151" spans="2:59" s="333" customFormat="1" ht="14.25" customHeight="1">
      <c r="C151" s="2185" t="str">
        <f>IF(AL164&lt;AL160,"Input Other Charges","Other Charges")</f>
        <v>Other Charges</v>
      </c>
      <c r="D151" s="2185"/>
      <c r="E151" s="2190"/>
      <c r="F151" s="2190"/>
      <c r="G151" s="2190"/>
      <c r="H151" s="2189"/>
      <c r="I151" s="2189"/>
      <c r="J151" s="2189"/>
      <c r="K151" s="2189"/>
      <c r="L151" s="2189"/>
      <c r="M151" s="2189"/>
      <c r="N151" s="2189"/>
      <c r="O151" s="2189"/>
      <c r="P151" s="2189"/>
      <c r="Q151" s="2189"/>
      <c r="R151" s="2189"/>
      <c r="S151" s="2189"/>
      <c r="T151" s="2189"/>
      <c r="U151" s="2189"/>
      <c r="V151" s="2189"/>
      <c r="AB151" s="332"/>
      <c r="AC151" s="332"/>
      <c r="AD151" s="332"/>
      <c r="AE151" s="332"/>
      <c r="AF151" s="332"/>
      <c r="AG151" s="332"/>
      <c r="AH151" s="332"/>
      <c r="AI151" s="332"/>
      <c r="AJ151" s="332"/>
      <c r="AK151" s="292">
        <f t="shared" si="12"/>
        <v>0</v>
      </c>
      <c r="AL151" s="328">
        <f>'A(1)-Sources Stmt.'!F48</f>
        <v>0</v>
      </c>
      <c r="AM151" s="292" t="str">
        <f>IF('A(1)-Sources Stmt.'!D48&lt;&gt;"",'A(1)-Sources Stmt.'!D48,"")</f>
        <v/>
      </c>
      <c r="AN151" s="98">
        <f>'A(1)-Sources Stmt.'!G48</f>
        <v>0</v>
      </c>
      <c r="AO151" s="329">
        <f>'A(1)-Sources Stmt.'!L48</f>
        <v>0</v>
      </c>
      <c r="AP151" s="98">
        <f>'A(1)-Sources Stmt.'!N48</f>
        <v>0</v>
      </c>
      <c r="AQ151" s="98"/>
      <c r="AR151" s="330" t="str">
        <f>IF('A(1)-Sources Stmt.'!G48="Permanent Loan",'A(1)-Sources Stmt.'!P48,"")</f>
        <v/>
      </c>
      <c r="AS151" s="713" t="str">
        <f>IF('A(1)-Sources Stmt.'!G48="Permanent Loan",'A(1)-Sources Stmt.'!Q48,"")</f>
        <v/>
      </c>
      <c r="AT151" s="713" t="str">
        <f t="shared" si="13"/>
        <v/>
      </c>
      <c r="AU151" s="826">
        <f t="shared" si="14"/>
        <v>0</v>
      </c>
      <c r="AV151" s="826">
        <f t="shared" si="7"/>
        <v>0</v>
      </c>
      <c r="AW151" s="826">
        <f t="shared" si="8"/>
        <v>0</v>
      </c>
      <c r="AX151" s="716">
        <f t="shared" si="15"/>
        <v>0</v>
      </c>
      <c r="AY151" s="830"/>
      <c r="AZ151" s="716">
        <f t="shared" si="9"/>
        <v>0</v>
      </c>
      <c r="BA151" s="831"/>
      <c r="BB151" s="716" t="b">
        <f t="shared" si="10"/>
        <v>0</v>
      </c>
      <c r="BC151" s="716">
        <f t="shared" si="11"/>
        <v>0</v>
      </c>
      <c r="BD151" s="716">
        <f t="shared" si="16"/>
        <v>0</v>
      </c>
      <c r="BE151" s="40">
        <v>0.14000000000000001</v>
      </c>
      <c r="BF151" s="956">
        <f t="shared" si="17"/>
        <v>0</v>
      </c>
      <c r="BG151" s="285">
        <f>IF(AN151="Permanent Loan",(MAX(BG138:BG150)+1),0)</f>
        <v>0</v>
      </c>
    </row>
    <row r="152" spans="2:59" ht="14.25" customHeight="1">
      <c r="C152" s="2191" t="s">
        <v>799</v>
      </c>
      <c r="D152" s="2191"/>
      <c r="E152" s="2174" t="str">
        <f>IFERROR(IF(E144&lt;&gt;"",VLOOKUP(E144,$AT$156:$AW$170,4,FALSE)," ")," ")</f>
        <v xml:space="preserve"> </v>
      </c>
      <c r="F152" s="2174"/>
      <c r="G152" s="2174"/>
      <c r="H152" s="2174" t="str">
        <f>IFERROR(IF(H144&lt;&gt;"",VLOOKUP(H144,$AT$156:$AW$170,4,FALSE)," ")," ")</f>
        <v xml:space="preserve"> </v>
      </c>
      <c r="I152" s="2174"/>
      <c r="J152" s="2174"/>
      <c r="K152" s="2174" t="str">
        <f>IFERROR(IF(K144&lt;&gt;"",VLOOKUP(K144,$AT$156:$AW$170,4,FALSE)," ")," ")</f>
        <v xml:space="preserve"> </v>
      </c>
      <c r="L152" s="2174"/>
      <c r="M152" s="2174"/>
      <c r="N152" s="2174" t="str">
        <f>IFERROR(IF(N144&lt;&gt;"",VLOOKUP(N144,$AT$156:$AW$170,4,FALSE)," ")," ")</f>
        <v xml:space="preserve"> </v>
      </c>
      <c r="O152" s="2174"/>
      <c r="P152" s="2174"/>
      <c r="Q152" s="2174"/>
      <c r="R152" s="2174"/>
      <c r="S152" s="2174" t="str">
        <f>IFERROR(IF(S144&lt;&gt;"",VLOOKUP(S144,$AT$156:$AW$170,4,FALSE)," ")," ")</f>
        <v xml:space="preserve"> </v>
      </c>
      <c r="T152" s="2174"/>
      <c r="U152" s="2174"/>
      <c r="V152" s="2174"/>
      <c r="Z152" s="285"/>
      <c r="AA152" s="285"/>
      <c r="AG152" s="286"/>
      <c r="AH152" s="286"/>
      <c r="AI152" s="286"/>
      <c r="AJ152" s="286"/>
      <c r="AK152" s="292">
        <f t="shared" si="12"/>
        <v>0</v>
      </c>
      <c r="AL152" s="328">
        <f>'A(1)-Sources Stmt.'!F49</f>
        <v>0</v>
      </c>
      <c r="AM152" s="292" t="str">
        <f>IF('A(1)-Sources Stmt.'!D49&lt;&gt;"",'A(1)-Sources Stmt.'!D49,"")</f>
        <v/>
      </c>
      <c r="AN152" s="98">
        <f>'A(1)-Sources Stmt.'!G49</f>
        <v>0</v>
      </c>
      <c r="AO152" s="329">
        <f>'A(1)-Sources Stmt.'!L49</f>
        <v>0</v>
      </c>
      <c r="AP152" s="98">
        <f>'A(1)-Sources Stmt.'!N49</f>
        <v>0</v>
      </c>
      <c r="AQ152" s="98"/>
      <c r="AR152" s="330" t="str">
        <f>IF('A(1)-Sources Stmt.'!G49="Permanent Loan",'A(1)-Sources Stmt.'!P49,"")</f>
        <v/>
      </c>
      <c r="AS152" s="713" t="str">
        <f>IF('A(1)-Sources Stmt.'!G49="Permanent Loan",'A(1)-Sources Stmt.'!Q49,"")</f>
        <v/>
      </c>
      <c r="AT152" s="713" t="str">
        <f t="shared" si="13"/>
        <v/>
      </c>
      <c r="AU152" s="826">
        <f t="shared" si="14"/>
        <v>0</v>
      </c>
      <c r="AV152" s="826">
        <f t="shared" si="7"/>
        <v>0</v>
      </c>
      <c r="AW152" s="826">
        <f t="shared" si="8"/>
        <v>0</v>
      </c>
      <c r="AX152" s="716">
        <f t="shared" si="15"/>
        <v>0</v>
      </c>
      <c r="AY152" s="826"/>
      <c r="AZ152" s="716">
        <f t="shared" si="9"/>
        <v>0</v>
      </c>
      <c r="BA152" s="716"/>
      <c r="BB152" s="716" t="b">
        <f t="shared" si="10"/>
        <v>0</v>
      </c>
      <c r="BC152" s="716">
        <f t="shared" si="11"/>
        <v>0</v>
      </c>
      <c r="BD152" s="716">
        <f t="shared" si="16"/>
        <v>0</v>
      </c>
      <c r="BE152" s="40">
        <v>0.15</v>
      </c>
      <c r="BF152" s="956">
        <f t="shared" si="17"/>
        <v>0</v>
      </c>
      <c r="BG152" s="285">
        <f>IF(AN152="Permanent Loan",(MAX(BG138:BG151)+1),0)</f>
        <v>0</v>
      </c>
    </row>
    <row r="153" spans="2:59">
      <c r="F153" s="287"/>
      <c r="G153" s="287"/>
      <c r="AE153" s="292"/>
      <c r="AF153" s="292"/>
      <c r="AG153" s="98"/>
      <c r="AH153" s="98"/>
      <c r="AI153" s="98"/>
      <c r="AJ153" s="98"/>
      <c r="AK153" s="98"/>
      <c r="AL153" s="330"/>
      <c r="AM153" s="292"/>
      <c r="AN153" s="292"/>
      <c r="AO153" s="292"/>
    </row>
    <row r="154" spans="2:59" ht="18.75" customHeight="1">
      <c r="B154" s="2061" t="s">
        <v>1120</v>
      </c>
      <c r="C154" s="2061"/>
      <c r="D154" s="2061"/>
      <c r="E154" s="2061"/>
      <c r="F154" s="2061"/>
      <c r="G154" s="2061"/>
      <c r="H154" s="2061"/>
      <c r="I154" s="2061"/>
      <c r="J154" s="2061"/>
      <c r="K154" s="2061"/>
      <c r="L154" s="2061"/>
      <c r="M154" s="2061"/>
      <c r="N154" s="2061"/>
      <c r="O154" s="2061"/>
      <c r="P154" s="335"/>
      <c r="Q154" s="335"/>
      <c r="R154" s="335"/>
      <c r="S154" s="335"/>
      <c r="T154" s="335"/>
      <c r="U154" s="335"/>
      <c r="AE154" s="292"/>
      <c r="AF154" s="292"/>
      <c r="AG154" s="98"/>
      <c r="AH154" s="98"/>
      <c r="AI154" s="98"/>
      <c r="AJ154" s="98"/>
      <c r="AK154" s="330"/>
      <c r="AL154" s="292"/>
      <c r="AM154" s="292"/>
      <c r="AN154" s="292"/>
    </row>
    <row r="155" spans="2:59" ht="13.5" customHeight="1">
      <c r="B155" s="2196" t="s">
        <v>126</v>
      </c>
      <c r="C155" s="2195"/>
      <c r="D155" s="2195"/>
      <c r="E155" s="2195" t="s">
        <v>140</v>
      </c>
      <c r="F155" s="2195"/>
      <c r="G155" s="2195"/>
      <c r="H155" s="2195" t="s">
        <v>141</v>
      </c>
      <c r="I155" s="2195"/>
      <c r="J155" s="2195" t="s">
        <v>142</v>
      </c>
      <c r="K155" s="2195"/>
      <c r="L155" s="2195"/>
      <c r="M155" s="2195"/>
      <c r="N155" s="2195"/>
      <c r="O155" s="2195"/>
      <c r="P155" s="2195"/>
      <c r="Q155" s="2160" t="s">
        <v>785</v>
      </c>
      <c r="R155" s="2160"/>
      <c r="S155" s="2158" t="s">
        <v>129</v>
      </c>
      <c r="T155" s="2158"/>
      <c r="U155" s="2158"/>
      <c r="V155" s="2158"/>
      <c r="W155" s="2159"/>
      <c r="AE155" s="334">
        <f>MAX(AK138:AK152)</f>
        <v>0</v>
      </c>
      <c r="AF155" s="292"/>
      <c r="AG155" s="292"/>
      <c r="AH155" s="292"/>
      <c r="AI155" s="292"/>
      <c r="AJ155" s="292"/>
      <c r="AK155" s="292"/>
      <c r="AL155" s="98"/>
      <c r="AM155" s="292"/>
      <c r="AN155" s="292"/>
      <c r="AT155" s="1194" t="s">
        <v>27</v>
      </c>
      <c r="AU155" s="1194" t="s">
        <v>1099</v>
      </c>
      <c r="AV155" s="1194" t="s">
        <v>965</v>
      </c>
    </row>
    <row r="156" spans="2:59" ht="12" customHeight="1">
      <c r="B156" s="2186" t="s">
        <v>143</v>
      </c>
      <c r="C156" s="2186"/>
      <c r="D156" s="2186"/>
      <c r="E156" s="2186" t="s">
        <v>16</v>
      </c>
      <c r="F156" s="2186"/>
      <c r="G156" s="2186"/>
      <c r="H156" s="2186" t="s">
        <v>144</v>
      </c>
      <c r="I156" s="2186"/>
      <c r="J156" s="304"/>
      <c r="K156" s="304"/>
      <c r="L156" s="304"/>
      <c r="M156" s="304"/>
      <c r="N156" s="304"/>
      <c r="O156" s="304"/>
      <c r="P156" s="336"/>
      <c r="Q156" s="2240" t="str">
        <f>IF(O161&lt;&gt;"",IF(AND(O161&lt;&gt;"",Z157=1),AA157,AB157),"")</f>
        <v/>
      </c>
      <c r="R156" s="2241"/>
      <c r="S156" s="2161"/>
      <c r="T156" s="2162"/>
      <c r="U156" s="2162"/>
      <c r="V156" s="2162"/>
      <c r="W156" s="2163"/>
      <c r="AA156" s="326" t="s">
        <v>110</v>
      </c>
      <c r="AB156" s="326" t="s">
        <v>786</v>
      </c>
      <c r="AF156" s="292"/>
      <c r="AG156" s="292"/>
      <c r="AH156" s="292"/>
      <c r="AI156" s="98"/>
      <c r="AJ156" s="292"/>
      <c r="AK156" s="292"/>
      <c r="AT156" s="285">
        <f>'A(1)-Sources Stmt.'!D35</f>
        <v>0</v>
      </c>
      <c r="AU156" s="285">
        <f>IF('A(1)-Sources Stmt.'!P35&lt;&gt;"",'A(1)-Sources Stmt.'!P35,0)</f>
        <v>0</v>
      </c>
      <c r="AV156" s="285">
        <f>IF('A(1)-Sources Stmt.'!Q35&lt;&gt;"",'A(1)-Sources Stmt.'!Q35,0)</f>
        <v>0</v>
      </c>
      <c r="AW156" s="285">
        <f>AU156+AV156</f>
        <v>0</v>
      </c>
    </row>
    <row r="157" spans="2:59" ht="14.25" customHeight="1">
      <c r="B157" s="2187"/>
      <c r="C157" s="2187"/>
      <c r="D157" s="2187"/>
      <c r="E157" s="2187"/>
      <c r="F157" s="2187"/>
      <c r="G157" s="2187"/>
      <c r="H157" s="2187"/>
      <c r="I157" s="2187"/>
      <c r="J157" s="1131"/>
      <c r="K157" s="2100" t="s">
        <v>891</v>
      </c>
      <c r="L157" s="2100"/>
      <c r="M157" s="2100"/>
      <c r="N157" s="2100"/>
      <c r="O157" s="966">
        <f>'C(1)-Rental Operating ProForma'!K26</f>
        <v>0</v>
      </c>
      <c r="P157" s="337"/>
      <c r="Q157" s="2242"/>
      <c r="R157" s="2243"/>
      <c r="S157" s="2164"/>
      <c r="T157" s="2165"/>
      <c r="U157" s="2165"/>
      <c r="V157" s="2165"/>
      <c r="W157" s="2166"/>
      <c r="Z157" s="306">
        <f>COUNTIF('A(1)-Sources Stmt.'!H35:H49,"LIHTC")</f>
        <v>0</v>
      </c>
      <c r="AA157" s="286" t="str">
        <f>IF(O161&lt;=0.15,"OK","Please Explain")</f>
        <v>Please Explain</v>
      </c>
      <c r="AB157" s="286" t="str">
        <f>IF(O161&lt;=0.1,"OK","Please Explain")</f>
        <v>Please Explain</v>
      </c>
      <c r="AG157" s="286"/>
      <c r="AH157" s="338"/>
      <c r="AI157" s="117"/>
      <c r="AJ157" s="338"/>
      <c r="AK157" s="338"/>
      <c r="AT157" s="285">
        <f>'A(1)-Sources Stmt.'!D36</f>
        <v>0</v>
      </c>
      <c r="AU157" s="285">
        <f>IF('A(1)-Sources Stmt.'!P36&lt;&gt;"",'A(1)-Sources Stmt.'!P36,0)</f>
        <v>0</v>
      </c>
      <c r="AV157" s="285">
        <f>IF('A(1)-Sources Stmt.'!Q36&lt;&gt;"",'A(1)-Sources Stmt.'!Q36,0)</f>
        <v>0</v>
      </c>
      <c r="AW157" s="285">
        <f t="shared" ref="AW157:AW170" si="18">AU157+AV157</f>
        <v>0</v>
      </c>
    </row>
    <row r="158" spans="2:59" ht="10.5" customHeight="1">
      <c r="B158" s="2187"/>
      <c r="C158" s="2187"/>
      <c r="D158" s="2187"/>
      <c r="E158" s="2187"/>
      <c r="F158" s="2187"/>
      <c r="G158" s="2187"/>
      <c r="H158" s="2187"/>
      <c r="I158" s="2187"/>
      <c r="J158" s="295"/>
      <c r="K158" s="295"/>
      <c r="L158" s="295"/>
      <c r="M158" s="295"/>
      <c r="N158" s="295"/>
      <c r="O158" s="439" t="s">
        <v>131</v>
      </c>
      <c r="P158" s="337"/>
      <c r="Q158" s="2242"/>
      <c r="R158" s="2243"/>
      <c r="S158" s="2164"/>
      <c r="T158" s="2165"/>
      <c r="U158" s="2165"/>
      <c r="V158" s="2165"/>
      <c r="W158" s="2166"/>
      <c r="AI158" s="15"/>
      <c r="AT158" s="285">
        <f>'A(1)-Sources Stmt.'!D37</f>
        <v>0</v>
      </c>
      <c r="AU158" s="285">
        <f>IF('A(1)-Sources Stmt.'!P37&lt;&gt;"",'A(1)-Sources Stmt.'!P37,0)</f>
        <v>0</v>
      </c>
      <c r="AV158" s="285">
        <f>IF('A(1)-Sources Stmt.'!Q37&lt;&gt;"",'A(1)-Sources Stmt.'!Q37,0)</f>
        <v>0</v>
      </c>
      <c r="AW158" s="285">
        <f>AU158+AV158</f>
        <v>0</v>
      </c>
    </row>
    <row r="159" spans="2:59" ht="14.25" customHeight="1">
      <c r="B159" s="2187"/>
      <c r="C159" s="2187"/>
      <c r="D159" s="2187"/>
      <c r="E159" s="2187"/>
      <c r="F159" s="2187"/>
      <c r="G159" s="2187"/>
      <c r="H159" s="2187"/>
      <c r="I159" s="2187"/>
      <c r="J159" s="1131"/>
      <c r="K159" s="2100" t="s">
        <v>892</v>
      </c>
      <c r="L159" s="2100"/>
      <c r="M159" s="2100"/>
      <c r="N159" s="2100"/>
      <c r="O159" s="966">
        <f>'C(1)-Rental Operating ProForma'!K20</f>
        <v>0</v>
      </c>
      <c r="P159" s="337"/>
      <c r="Q159" s="2242"/>
      <c r="R159" s="2243"/>
      <c r="S159" s="2164"/>
      <c r="T159" s="2165"/>
      <c r="U159" s="2165"/>
      <c r="V159" s="2165"/>
      <c r="W159" s="2166"/>
      <c r="Y159" s="286">
        <f>IF(Q156="Please Explain",1,0)</f>
        <v>0</v>
      </c>
      <c r="Z159" s="286">
        <f>IF(S156="",1,0)</f>
        <v>1</v>
      </c>
      <c r="AI159" s="15"/>
      <c r="AT159" s="285">
        <f>'A(1)-Sources Stmt.'!D38</f>
        <v>0</v>
      </c>
      <c r="AU159" s="285">
        <f>IF('A(1)-Sources Stmt.'!P38&lt;&gt;"",'A(1)-Sources Stmt.'!P38,0)</f>
        <v>0</v>
      </c>
      <c r="AV159" s="285">
        <f>IF('A(1)-Sources Stmt.'!Q38&lt;&gt;"",'A(1)-Sources Stmt.'!Q38,0)</f>
        <v>0</v>
      </c>
      <c r="AW159" s="285">
        <f t="shared" si="18"/>
        <v>0</v>
      </c>
    </row>
    <row r="160" spans="2:59" ht="10.5" customHeight="1">
      <c r="B160" s="2187"/>
      <c r="C160" s="2187"/>
      <c r="D160" s="2187"/>
      <c r="E160" s="2187"/>
      <c r="F160" s="2187"/>
      <c r="G160" s="2187"/>
      <c r="H160" s="2187"/>
      <c r="I160" s="2187"/>
      <c r="J160" s="295"/>
      <c r="K160" s="295"/>
      <c r="L160" s="295"/>
      <c r="M160" s="295"/>
      <c r="N160" s="295"/>
      <c r="O160" s="778" t="s">
        <v>133</v>
      </c>
      <c r="P160" s="337"/>
      <c r="Q160" s="2242"/>
      <c r="R160" s="2243"/>
      <c r="S160" s="2164"/>
      <c r="T160" s="2165"/>
      <c r="U160" s="2165"/>
      <c r="V160" s="2165"/>
      <c r="W160" s="2166"/>
      <c r="AG160" s="285">
        <f>IF(E144&lt;&gt;" ",1,0)</f>
        <v>0</v>
      </c>
      <c r="AH160" s="285">
        <f>IF(H144&lt;&gt;" ",1,0)</f>
        <v>0</v>
      </c>
      <c r="AI160" s="285">
        <f>IF(K144&lt;&gt;" ",1,0)</f>
        <v>0</v>
      </c>
      <c r="AJ160" s="285">
        <f>IF(N144&lt;&gt;" ",1,0)</f>
        <v>0</v>
      </c>
      <c r="AK160" s="285">
        <f>IF(S144&lt;&gt;" ",1,0)</f>
        <v>0</v>
      </c>
      <c r="AL160" s="871">
        <f>SUM(AG160:AK160)</f>
        <v>0</v>
      </c>
      <c r="AT160" s="285">
        <f>'A(1)-Sources Stmt.'!D39</f>
        <v>0</v>
      </c>
      <c r="AU160" s="285">
        <f>IF('A(1)-Sources Stmt.'!P39&lt;&gt;"",'A(1)-Sources Stmt.'!P39,0)</f>
        <v>0</v>
      </c>
      <c r="AV160" s="285">
        <f>IF('A(1)-Sources Stmt.'!Q39&lt;&gt;"",'A(1)-Sources Stmt.'!Q39,0)</f>
        <v>0</v>
      </c>
      <c r="AW160" s="285">
        <f t="shared" si="18"/>
        <v>0</v>
      </c>
    </row>
    <row r="161" spans="2:49" ht="14.25" customHeight="1">
      <c r="B161" s="2187"/>
      <c r="C161" s="2187"/>
      <c r="D161" s="2187"/>
      <c r="E161" s="2187"/>
      <c r="F161" s="2187"/>
      <c r="G161" s="2187"/>
      <c r="H161" s="2187"/>
      <c r="I161" s="2187"/>
      <c r="J161" s="295"/>
      <c r="K161" s="295"/>
      <c r="L161" s="295"/>
      <c r="M161" s="295"/>
      <c r="N161" s="295"/>
      <c r="O161" s="967" t="str">
        <f>IFERROR(ROUND(O157/O159,4),"")</f>
        <v/>
      </c>
      <c r="P161" s="337"/>
      <c r="Q161" s="2242"/>
      <c r="R161" s="2243"/>
      <c r="S161" s="2164"/>
      <c r="T161" s="2165"/>
      <c r="U161" s="2165"/>
      <c r="V161" s="2165"/>
      <c r="W161" s="2166"/>
      <c r="AL161" s="871">
        <f>COUNTA(E145:V145)</f>
        <v>0</v>
      </c>
      <c r="AT161" s="285">
        <f>'A(1)-Sources Stmt.'!D40</f>
        <v>0</v>
      </c>
      <c r="AU161" s="285">
        <f>IF('A(1)-Sources Stmt.'!P40&lt;&gt;"",'A(1)-Sources Stmt.'!P40,0)</f>
        <v>0</v>
      </c>
      <c r="AV161" s="285">
        <f>IF('A(1)-Sources Stmt.'!Q40&lt;&gt;"",'A(1)-Sources Stmt.'!Q40,0)</f>
        <v>0</v>
      </c>
      <c r="AW161" s="285">
        <f t="shared" si="18"/>
        <v>0</v>
      </c>
    </row>
    <row r="162" spans="2:49" ht="44.25" customHeight="1">
      <c r="B162" s="2188"/>
      <c r="C162" s="2188"/>
      <c r="D162" s="2188"/>
      <c r="E162" s="2188"/>
      <c r="F162" s="2188"/>
      <c r="G162" s="2188"/>
      <c r="H162" s="2188"/>
      <c r="I162" s="2188"/>
      <c r="J162" s="317"/>
      <c r="K162" s="317"/>
      <c r="L162" s="317"/>
      <c r="M162" s="317"/>
      <c r="N162" s="317"/>
      <c r="O162" s="317"/>
      <c r="P162" s="339"/>
      <c r="Q162" s="2244"/>
      <c r="R162" s="2245"/>
      <c r="S162" s="2167"/>
      <c r="T162" s="2168"/>
      <c r="U162" s="2168"/>
      <c r="V162" s="2168"/>
      <c r="W162" s="2169"/>
      <c r="AL162" s="871">
        <f>COUNTA(E149:V149)</f>
        <v>0</v>
      </c>
      <c r="AT162" s="285">
        <f>'A(1)-Sources Stmt.'!D41</f>
        <v>0</v>
      </c>
      <c r="AU162" s="285">
        <f>IF('A(1)-Sources Stmt.'!P41&lt;&gt;"",'A(1)-Sources Stmt.'!P41,0)</f>
        <v>0</v>
      </c>
      <c r="AV162" s="285">
        <f>IF('A(1)-Sources Stmt.'!Q41&lt;&gt;"",'A(1)-Sources Stmt.'!Q41,0)</f>
        <v>0</v>
      </c>
      <c r="AW162" s="285">
        <f t="shared" si="18"/>
        <v>0</v>
      </c>
    </row>
    <row r="163" spans="2:49" s="15" customFormat="1" ht="4.5" customHeight="1">
      <c r="B163" s="1129"/>
      <c r="C163" s="1129"/>
      <c r="D163" s="1129"/>
      <c r="E163" s="1129"/>
      <c r="F163" s="1129"/>
      <c r="G163" s="1129"/>
      <c r="H163" s="1129"/>
      <c r="I163" s="1129"/>
      <c r="J163" s="243"/>
      <c r="K163" s="243"/>
      <c r="L163" s="243"/>
      <c r="M163" s="243"/>
      <c r="N163" s="243"/>
      <c r="O163" s="243"/>
      <c r="P163" s="243"/>
      <c r="Q163" s="340"/>
      <c r="R163" s="340"/>
      <c r="S163" s="243"/>
      <c r="T163" s="243"/>
      <c r="U163" s="243"/>
      <c r="V163" s="243"/>
      <c r="W163" s="243"/>
      <c r="AL163" s="871">
        <f t="shared" ref="AL163:AL164" si="19">COUNTA(E150:V150)</f>
        <v>0</v>
      </c>
      <c r="AT163" s="285">
        <f>'A(1)-Sources Stmt.'!D42</f>
        <v>0</v>
      </c>
      <c r="AU163" s="285">
        <f>IF('A(1)-Sources Stmt.'!P42&lt;&gt;"",'A(1)-Sources Stmt.'!P42,0)</f>
        <v>0</v>
      </c>
      <c r="AV163" s="285">
        <f>IF('A(1)-Sources Stmt.'!Q42&lt;&gt;"",'A(1)-Sources Stmt.'!Q42,0)</f>
        <v>0</v>
      </c>
      <c r="AW163" s="285">
        <f t="shared" si="18"/>
        <v>0</v>
      </c>
    </row>
    <row r="164" spans="2:49" ht="12" customHeight="1">
      <c r="B164" s="2186" t="s">
        <v>1</v>
      </c>
      <c r="C164" s="2186"/>
      <c r="D164" s="2186"/>
      <c r="E164" s="2186" t="s">
        <v>1275</v>
      </c>
      <c r="F164" s="2186"/>
      <c r="G164" s="2186"/>
      <c r="H164" s="2186" t="s">
        <v>1276</v>
      </c>
      <c r="I164" s="2186"/>
      <c r="J164" s="1130"/>
      <c r="K164" s="1130"/>
      <c r="L164" s="1130"/>
      <c r="M164" s="1130"/>
      <c r="N164" s="1130"/>
      <c r="O164" s="341"/>
      <c r="P164" s="336"/>
      <c r="Q164" s="2240" t="str">
        <f>IF(O169&lt;&gt;"",IF(AA166=1,AB166,AC166),"")</f>
        <v/>
      </c>
      <c r="R164" s="2241"/>
      <c r="S164" s="2161"/>
      <c r="T164" s="2162"/>
      <c r="U164" s="2162"/>
      <c r="V164" s="2162"/>
      <c r="W164" s="2163"/>
      <c r="AI164" s="15"/>
      <c r="AL164" s="871">
        <f t="shared" si="19"/>
        <v>0</v>
      </c>
      <c r="AT164" s="285">
        <f>'A(1)-Sources Stmt.'!D43</f>
        <v>0</v>
      </c>
      <c r="AU164" s="285">
        <f>IF('A(1)-Sources Stmt.'!P43&lt;&gt;"",'A(1)-Sources Stmt.'!P43,0)</f>
        <v>0</v>
      </c>
      <c r="AV164" s="285">
        <f>IF('A(1)-Sources Stmt.'!Q43&lt;&gt;"",'A(1)-Sources Stmt.'!Q43,0)</f>
        <v>0</v>
      </c>
      <c r="AW164" s="285">
        <f t="shared" si="18"/>
        <v>0</v>
      </c>
    </row>
    <row r="165" spans="2:49" ht="14.25" customHeight="1">
      <c r="B165" s="2187"/>
      <c r="C165" s="2187"/>
      <c r="D165" s="2187"/>
      <c r="E165" s="2187"/>
      <c r="F165" s="2187"/>
      <c r="G165" s="2187"/>
      <c r="H165" s="2187"/>
      <c r="I165" s="2187"/>
      <c r="J165" s="1131"/>
      <c r="K165" s="2100" t="s">
        <v>893</v>
      </c>
      <c r="L165" s="2100"/>
      <c r="M165" s="2100"/>
      <c r="N165" s="2100"/>
      <c r="O165" s="966">
        <f>'C(1)-Rental Operating ProForma'!K35</f>
        <v>0</v>
      </c>
      <c r="P165" s="337"/>
      <c r="Q165" s="2242"/>
      <c r="R165" s="2243"/>
      <c r="S165" s="2164"/>
      <c r="T165" s="2165"/>
      <c r="U165" s="2165"/>
      <c r="V165" s="2165"/>
      <c r="W165" s="2166"/>
      <c r="AB165" s="1623" t="s">
        <v>389</v>
      </c>
      <c r="AC165" s="326" t="s">
        <v>787</v>
      </c>
      <c r="AD165" s="306"/>
      <c r="AE165" s="306"/>
      <c r="AF165" s="306"/>
      <c r="AI165" s="15"/>
      <c r="AL165" s="871"/>
      <c r="AT165" s="285">
        <f>'A(1)-Sources Stmt.'!D44</f>
        <v>0</v>
      </c>
      <c r="AU165" s="285">
        <f>IF('A(1)-Sources Stmt.'!P44&lt;&gt;"",'A(1)-Sources Stmt.'!P44,0)</f>
        <v>0</v>
      </c>
      <c r="AV165" s="285">
        <f>IF('A(1)-Sources Stmt.'!Q44&lt;&gt;"",'A(1)-Sources Stmt.'!Q44,0)</f>
        <v>0</v>
      </c>
      <c r="AW165" s="285">
        <f t="shared" si="18"/>
        <v>0</v>
      </c>
    </row>
    <row r="166" spans="2:49" ht="10.5" customHeight="1">
      <c r="B166" s="2187"/>
      <c r="C166" s="2187"/>
      <c r="D166" s="2187"/>
      <c r="E166" s="2187"/>
      <c r="F166" s="2187"/>
      <c r="G166" s="2187"/>
      <c r="H166" s="2187"/>
      <c r="I166" s="2187"/>
      <c r="J166" s="295"/>
      <c r="K166" s="295"/>
      <c r="L166" s="295"/>
      <c r="M166" s="295"/>
      <c r="N166" s="295"/>
      <c r="O166" s="439" t="s">
        <v>131</v>
      </c>
      <c r="P166" s="337"/>
      <c r="Q166" s="2242"/>
      <c r="R166" s="2243"/>
      <c r="S166" s="2164"/>
      <c r="T166" s="2165"/>
      <c r="U166" s="2165"/>
      <c r="V166" s="2165"/>
      <c r="W166" s="2166"/>
      <c r="Z166" s="286">
        <f>'B-Rent Schedule'!D13</f>
        <v>0</v>
      </c>
      <c r="AA166" s="286">
        <f>IF((Z166="Alaska"),1,0)</f>
        <v>0</v>
      </c>
      <c r="AB166" s="286" t="str">
        <f>IF(OR(O169&lt;5500,O169&gt;8000),"Please Explain","OK")</f>
        <v>Please Explain</v>
      </c>
      <c r="AC166" s="286" t="str">
        <f>IF(OR(O169&lt;2500,O169&gt;5000),"Please Explain","OK")</f>
        <v>Please Explain</v>
      </c>
      <c r="AI166" s="15"/>
      <c r="AT166" s="285">
        <f>'A(1)-Sources Stmt.'!D45</f>
        <v>0</v>
      </c>
      <c r="AU166" s="285">
        <f>IF('A(1)-Sources Stmt.'!P45&lt;&gt;"",'A(1)-Sources Stmt.'!P45,0)</f>
        <v>0</v>
      </c>
      <c r="AV166" s="285">
        <f>IF('A(1)-Sources Stmt.'!Q45&lt;&gt;"",'A(1)-Sources Stmt.'!Q45,0)</f>
        <v>0</v>
      </c>
      <c r="AW166" s="285">
        <f t="shared" si="18"/>
        <v>0</v>
      </c>
    </row>
    <row r="167" spans="2:49" ht="14.25" customHeight="1">
      <c r="B167" s="2187"/>
      <c r="C167" s="2187"/>
      <c r="D167" s="2187"/>
      <c r="E167" s="2187"/>
      <c r="F167" s="2187"/>
      <c r="G167" s="2187"/>
      <c r="H167" s="2187"/>
      <c r="I167" s="2187"/>
      <c r="J167" s="1131"/>
      <c r="K167" s="2100" t="s">
        <v>895</v>
      </c>
      <c r="L167" s="2100"/>
      <c r="M167" s="2100"/>
      <c r="N167" s="2100"/>
      <c r="O167" s="968">
        <f>'B-Rent Schedule'!K66</f>
        <v>0</v>
      </c>
      <c r="P167" s="337"/>
      <c r="Q167" s="2242"/>
      <c r="R167" s="2243"/>
      <c r="S167" s="2164"/>
      <c r="T167" s="2165"/>
      <c r="U167" s="2165"/>
      <c r="V167" s="2165"/>
      <c r="W167" s="2166"/>
      <c r="AI167" s="15"/>
      <c r="AT167" s="285">
        <f>'A(1)-Sources Stmt.'!D46</f>
        <v>0</v>
      </c>
      <c r="AU167" s="285">
        <f>IF('A(1)-Sources Stmt.'!P46&lt;&gt;"",'A(1)-Sources Stmt.'!P46,0)</f>
        <v>0</v>
      </c>
      <c r="AV167" s="285">
        <f>IF('A(1)-Sources Stmt.'!Q46&lt;&gt;"",'A(1)-Sources Stmt.'!Q46,0)</f>
        <v>0</v>
      </c>
      <c r="AW167" s="285">
        <f t="shared" si="18"/>
        <v>0</v>
      </c>
    </row>
    <row r="168" spans="2:49" ht="10.5" customHeight="1">
      <c r="B168" s="2187"/>
      <c r="C168" s="2187"/>
      <c r="D168" s="2187"/>
      <c r="E168" s="2187"/>
      <c r="F168" s="2187"/>
      <c r="G168" s="2187"/>
      <c r="H168" s="2187"/>
      <c r="I168" s="2187"/>
      <c r="J168" s="295"/>
      <c r="K168" s="295"/>
      <c r="L168" s="295"/>
      <c r="M168" s="295"/>
      <c r="N168" s="295"/>
      <c r="O168" s="778" t="s">
        <v>133</v>
      </c>
      <c r="P168" s="337"/>
      <c r="Q168" s="2242"/>
      <c r="R168" s="2243"/>
      <c r="S168" s="2164"/>
      <c r="T168" s="2165"/>
      <c r="U168" s="2165"/>
      <c r="V168" s="2165"/>
      <c r="W168" s="2166"/>
      <c r="AI168" s="15"/>
      <c r="AT168" s="285">
        <f>'A(1)-Sources Stmt.'!D47</f>
        <v>0</v>
      </c>
      <c r="AU168" s="285">
        <f>IF('A(1)-Sources Stmt.'!P47&lt;&gt;"",'A(1)-Sources Stmt.'!P47,0)</f>
        <v>0</v>
      </c>
      <c r="AV168" s="285">
        <f>IF('A(1)-Sources Stmt.'!Q47&lt;&gt;"",'A(1)-Sources Stmt.'!Q47,0)</f>
        <v>0</v>
      </c>
      <c r="AW168" s="285">
        <f t="shared" si="18"/>
        <v>0</v>
      </c>
    </row>
    <row r="169" spans="2:49" ht="14.25" customHeight="1">
      <c r="B169" s="2187"/>
      <c r="C169" s="2187"/>
      <c r="D169" s="2187"/>
      <c r="E169" s="2187"/>
      <c r="F169" s="2187"/>
      <c r="G169" s="2187"/>
      <c r="H169" s="2187"/>
      <c r="I169" s="2187"/>
      <c r="J169" s="1131"/>
      <c r="K169" s="2100" t="s">
        <v>894</v>
      </c>
      <c r="L169" s="2100"/>
      <c r="M169" s="2100"/>
      <c r="N169" s="2100"/>
      <c r="O169" s="969" t="str">
        <f>IFERROR(ROUND(O165/O167,0),"")</f>
        <v/>
      </c>
      <c r="P169" s="337"/>
      <c r="Q169" s="2242"/>
      <c r="R169" s="2243"/>
      <c r="S169" s="2164"/>
      <c r="T169" s="2165"/>
      <c r="U169" s="2165"/>
      <c r="V169" s="2165"/>
      <c r="W169" s="2166"/>
      <c r="Y169" s="286">
        <f>IF(Q164="Please Explain",1,0)</f>
        <v>0</v>
      </c>
      <c r="Z169" s="286">
        <f>IF(S164="",1,0)</f>
        <v>1</v>
      </c>
      <c r="AI169" s="15"/>
      <c r="AT169" s="285">
        <f>'A(1)-Sources Stmt.'!D48</f>
        <v>0</v>
      </c>
      <c r="AU169" s="285">
        <f>IF('A(1)-Sources Stmt.'!P48&lt;&gt;"",'A(1)-Sources Stmt.'!P48,0)</f>
        <v>0</v>
      </c>
      <c r="AV169" s="285">
        <f>IF('A(1)-Sources Stmt.'!Q48&lt;&gt;"",'A(1)-Sources Stmt.'!Q48,0)</f>
        <v>0</v>
      </c>
      <c r="AW169" s="285">
        <f t="shared" si="18"/>
        <v>0</v>
      </c>
    </row>
    <row r="170" spans="2:49" ht="5.25" customHeight="1">
      <c r="B170" s="2187"/>
      <c r="C170" s="2187"/>
      <c r="D170" s="2187"/>
      <c r="E170" s="2187"/>
      <c r="F170" s="2187"/>
      <c r="G170" s="2187"/>
      <c r="H170" s="2187"/>
      <c r="I170" s="2187"/>
      <c r="J170" s="313"/>
      <c r="K170" s="313"/>
      <c r="L170" s="313"/>
      <c r="M170" s="313"/>
      <c r="N170" s="313"/>
      <c r="O170" s="309"/>
      <c r="P170" s="337"/>
      <c r="Q170" s="2242"/>
      <c r="R170" s="2243"/>
      <c r="S170" s="2164"/>
      <c r="T170" s="2165"/>
      <c r="U170" s="2165"/>
      <c r="V170" s="2165"/>
      <c r="W170" s="2166"/>
      <c r="AI170" s="15"/>
      <c r="AT170" s="285">
        <f>'A(1)-Sources Stmt.'!D49</f>
        <v>0</v>
      </c>
      <c r="AU170" s="285">
        <f>IF('A(1)-Sources Stmt.'!P49&lt;&gt;"",'A(1)-Sources Stmt.'!P49,0)</f>
        <v>0</v>
      </c>
      <c r="AV170" s="285">
        <f>IF('A(1)-Sources Stmt.'!Q49&lt;&gt;"",'A(1)-Sources Stmt.'!Q49,0)</f>
        <v>0</v>
      </c>
      <c r="AW170" s="285">
        <f t="shared" si="18"/>
        <v>0</v>
      </c>
    </row>
    <row r="171" spans="2:49" ht="44.25" customHeight="1">
      <c r="B171" s="2188"/>
      <c r="C171" s="2188"/>
      <c r="D171" s="2188"/>
      <c r="E171" s="2188"/>
      <c r="F171" s="2188"/>
      <c r="G171" s="2188"/>
      <c r="H171" s="2188"/>
      <c r="I171" s="2188"/>
      <c r="J171" s="302"/>
      <c r="K171" s="302"/>
      <c r="L171" s="302"/>
      <c r="M171" s="302"/>
      <c r="N171" s="302"/>
      <c r="O171" s="311"/>
      <c r="P171" s="339"/>
      <c r="Q171" s="2244"/>
      <c r="R171" s="2245"/>
      <c r="S171" s="2167"/>
      <c r="T171" s="2168"/>
      <c r="U171" s="2168"/>
      <c r="V171" s="2168"/>
      <c r="W171" s="2169"/>
      <c r="AI171" s="15"/>
    </row>
    <row r="172" spans="2:49" s="15" customFormat="1" ht="4.5" customHeight="1">
      <c r="B172" s="1129"/>
      <c r="C172" s="1129"/>
      <c r="D172" s="1129"/>
      <c r="E172" s="1129"/>
      <c r="F172" s="1129"/>
      <c r="G172" s="1129"/>
      <c r="H172" s="1129"/>
      <c r="I172" s="1129"/>
      <c r="J172" s="243"/>
      <c r="K172" s="243"/>
      <c r="L172" s="243"/>
      <c r="M172" s="243"/>
      <c r="N172" s="243"/>
      <c r="O172" s="243"/>
      <c r="P172" s="243"/>
      <c r="Q172" s="243"/>
      <c r="R172" s="243"/>
      <c r="S172" s="243"/>
      <c r="T172" s="243"/>
      <c r="U172" s="243"/>
      <c r="V172" s="243"/>
      <c r="W172" s="243"/>
    </row>
    <row r="173" spans="2:49" ht="6.75" customHeight="1">
      <c r="B173" s="2175" t="s">
        <v>17</v>
      </c>
      <c r="C173" s="2176"/>
      <c r="D173" s="2176"/>
      <c r="E173" s="2175" t="s">
        <v>39</v>
      </c>
      <c r="F173" s="2176"/>
      <c r="G173" s="2192"/>
      <c r="H173" s="2175" t="s">
        <v>40</v>
      </c>
      <c r="I173" s="2192"/>
      <c r="J173" s="300"/>
      <c r="K173" s="300"/>
      <c r="L173" s="300"/>
      <c r="M173" s="300"/>
      <c r="N173" s="300"/>
      <c r="O173" s="304"/>
      <c r="P173" s="336"/>
      <c r="Q173" s="2240" t="str">
        <f>IF(O176&lt;&gt;"",IF(OR(O176&lt;0.03,O176&gt;0.07),"Please Explain","OK"),"")</f>
        <v/>
      </c>
      <c r="R173" s="2241"/>
      <c r="S173" s="2237"/>
      <c r="T173" s="2238"/>
      <c r="U173" s="2238"/>
      <c r="V173" s="2238"/>
      <c r="W173" s="2239"/>
      <c r="AI173" s="15"/>
    </row>
    <row r="174" spans="2:49" ht="6.75" customHeight="1">
      <c r="B174" s="2177"/>
      <c r="C174" s="2178"/>
      <c r="D174" s="2178"/>
      <c r="E174" s="2177"/>
      <c r="F174" s="2178"/>
      <c r="G174" s="2193"/>
      <c r="H174" s="2177"/>
      <c r="I174" s="2193"/>
      <c r="J174" s="1131"/>
      <c r="K174" s="2100"/>
      <c r="L174" s="2100"/>
      <c r="M174" s="2100"/>
      <c r="N174" s="2100"/>
      <c r="O174" s="777"/>
      <c r="P174" s="337"/>
      <c r="Q174" s="2242"/>
      <c r="R174" s="2243"/>
      <c r="S174" s="2106"/>
      <c r="T174" s="2107"/>
      <c r="U174" s="2107"/>
      <c r="V174" s="2107"/>
      <c r="W174" s="2108"/>
      <c r="AI174" s="15"/>
    </row>
    <row r="175" spans="2:49" ht="6.75" customHeight="1">
      <c r="B175" s="2177"/>
      <c r="C175" s="2178"/>
      <c r="D175" s="2178"/>
      <c r="E175" s="2177"/>
      <c r="F175" s="2178"/>
      <c r="G175" s="2193"/>
      <c r="H175" s="2177"/>
      <c r="I175" s="2193"/>
      <c r="J175" s="295"/>
      <c r="K175" s="295"/>
      <c r="L175" s="295"/>
      <c r="M175" s="295"/>
      <c r="N175" s="295"/>
      <c r="O175" s="439"/>
      <c r="P175" s="337"/>
      <c r="Q175" s="2242"/>
      <c r="R175" s="2243"/>
      <c r="S175" s="2106"/>
      <c r="T175" s="2107"/>
      <c r="U175" s="2107"/>
      <c r="V175" s="2107"/>
      <c r="W175" s="2108"/>
      <c r="Y175" s="286">
        <f>IF(Q173="Please Explain",1,0)</f>
        <v>0</v>
      </c>
      <c r="Z175" s="286">
        <f>IF(S173="",1,0)</f>
        <v>1</v>
      </c>
      <c r="AI175" s="15"/>
    </row>
    <row r="176" spans="2:49" ht="14.25" customHeight="1">
      <c r="B176" s="2177"/>
      <c r="C176" s="2178"/>
      <c r="D176" s="2178"/>
      <c r="E176" s="2177"/>
      <c r="F176" s="2178"/>
      <c r="G176" s="2193"/>
      <c r="H176" s="2177"/>
      <c r="I176" s="2193"/>
      <c r="J176" s="1131"/>
      <c r="K176" s="2100" t="s">
        <v>1029</v>
      </c>
      <c r="L176" s="2100"/>
      <c r="M176" s="2100"/>
      <c r="N176" s="2100"/>
      <c r="O176" s="967" t="str">
        <f>IF('C(1)-Rental Operating ProForma'!H22&lt;&gt;"",'C(1)-Rental Operating ProForma'!H22,"")</f>
        <v/>
      </c>
      <c r="P176" s="337"/>
      <c r="Q176" s="2242"/>
      <c r="R176" s="2243"/>
      <c r="S176" s="2106"/>
      <c r="T176" s="2107"/>
      <c r="U176" s="2107"/>
      <c r="V176" s="2107"/>
      <c r="W176" s="2108"/>
      <c r="AI176" s="15"/>
    </row>
    <row r="177" spans="2:35" ht="6.75" customHeight="1">
      <c r="B177" s="2177"/>
      <c r="C177" s="2178"/>
      <c r="D177" s="2178"/>
      <c r="E177" s="2177"/>
      <c r="F177" s="2178"/>
      <c r="G177" s="2193"/>
      <c r="H177" s="2177"/>
      <c r="I177" s="2193"/>
      <c r="J177" s="295"/>
      <c r="K177" s="295"/>
      <c r="L177" s="295"/>
      <c r="M177" s="295"/>
      <c r="N177" s="295"/>
      <c r="O177" s="778"/>
      <c r="P177" s="337"/>
      <c r="Q177" s="2242"/>
      <c r="R177" s="2243"/>
      <c r="S177" s="2106"/>
      <c r="T177" s="2107"/>
      <c r="U177" s="2107"/>
      <c r="V177" s="2107"/>
      <c r="W177" s="2108"/>
      <c r="AI177" s="15"/>
    </row>
    <row r="178" spans="2:35" ht="6.75" customHeight="1">
      <c r="B178" s="2177"/>
      <c r="C178" s="2178"/>
      <c r="D178" s="2178"/>
      <c r="E178" s="2177"/>
      <c r="F178" s="2178"/>
      <c r="G178" s="2193"/>
      <c r="H178" s="2177"/>
      <c r="I178" s="2193"/>
      <c r="J178" s="1131"/>
      <c r="K178" s="1132"/>
      <c r="L178" s="1132"/>
      <c r="M178" s="1132"/>
      <c r="N178" s="1132"/>
      <c r="O178" s="287"/>
      <c r="P178" s="337"/>
      <c r="Q178" s="2242"/>
      <c r="R178" s="2243"/>
      <c r="S178" s="2106"/>
      <c r="T178" s="2107"/>
      <c r="U178" s="2107"/>
      <c r="V178" s="2107"/>
      <c r="W178" s="2108"/>
      <c r="AI178" s="15"/>
    </row>
    <row r="179" spans="2:35" ht="51" customHeight="1">
      <c r="B179" s="2179"/>
      <c r="C179" s="2180"/>
      <c r="D179" s="2180"/>
      <c r="E179" s="2179"/>
      <c r="F179" s="2180"/>
      <c r="G179" s="2194"/>
      <c r="H179" s="2179"/>
      <c r="I179" s="2194"/>
      <c r="J179" s="302"/>
      <c r="K179" s="302"/>
      <c r="L179" s="302"/>
      <c r="M179" s="302"/>
      <c r="N179" s="302"/>
      <c r="O179" s="311"/>
      <c r="P179" s="339"/>
      <c r="Q179" s="2244"/>
      <c r="R179" s="2245"/>
      <c r="S179" s="2109"/>
      <c r="T179" s="2110"/>
      <c r="U179" s="2110"/>
      <c r="V179" s="2110"/>
      <c r="W179" s="2111"/>
      <c r="AI179" s="15"/>
    </row>
    <row r="180" spans="2:35" s="15" customFormat="1" ht="4.5" customHeight="1">
      <c r="B180" s="1129"/>
      <c r="C180" s="1129"/>
      <c r="D180" s="1129"/>
      <c r="E180" s="1129"/>
      <c r="F180" s="1129"/>
      <c r="G180" s="1129"/>
      <c r="H180" s="1129"/>
      <c r="I180" s="1129"/>
      <c r="J180" s="243"/>
      <c r="K180" s="243"/>
      <c r="L180" s="243"/>
      <c r="M180" s="243"/>
      <c r="N180" s="243"/>
      <c r="O180" s="243"/>
      <c r="P180" s="243"/>
      <c r="Q180" s="243"/>
      <c r="R180" s="243"/>
      <c r="S180" s="243"/>
      <c r="T180" s="243"/>
      <c r="U180" s="243"/>
      <c r="V180" s="243"/>
      <c r="W180" s="243"/>
    </row>
    <row r="181" spans="2:35" ht="20.25" customHeight="1">
      <c r="B181" s="2175" t="s">
        <v>99</v>
      </c>
      <c r="C181" s="2176"/>
      <c r="D181" s="2176"/>
      <c r="E181" s="2175">
        <v>1.05</v>
      </c>
      <c r="F181" s="2176"/>
      <c r="G181" s="2192"/>
      <c r="H181" s="2212">
        <v>1.3</v>
      </c>
      <c r="I181" s="2214"/>
      <c r="J181" s="1133"/>
      <c r="K181" s="1133"/>
      <c r="L181" s="1133"/>
      <c r="M181" s="1133"/>
      <c r="N181" s="1133"/>
      <c r="O181" s="342"/>
      <c r="P181" s="343"/>
      <c r="Q181" s="2240" t="str">
        <f>IF(AND('Project Info and Instructions'!F20&lt;&gt;"Owner-occupied",O182&lt;&gt;""),IF(OR(O182&lt;1.05,O182&gt;1.3),"Please Explain","OK"),"")</f>
        <v/>
      </c>
      <c r="R181" s="2241"/>
      <c r="S181" s="2237"/>
      <c r="T181" s="2238"/>
      <c r="U181" s="2238"/>
      <c r="V181" s="2238"/>
      <c r="W181" s="2239"/>
      <c r="AI181" s="15"/>
    </row>
    <row r="182" spans="2:35" ht="14.25" customHeight="1">
      <c r="B182" s="2177"/>
      <c r="C182" s="2178"/>
      <c r="D182" s="2178"/>
      <c r="E182" s="2177"/>
      <c r="F182" s="2178"/>
      <c r="G182" s="2193"/>
      <c r="H182" s="2215"/>
      <c r="I182" s="2217"/>
      <c r="J182" s="1131"/>
      <c r="K182" s="2100" t="s">
        <v>1030</v>
      </c>
      <c r="L182" s="2100"/>
      <c r="M182" s="2100"/>
      <c r="N182" s="2100"/>
      <c r="O182" s="970" t="str">
        <f>'C(1)-Rental Operating ProForma'!K58</f>
        <v/>
      </c>
      <c r="P182" s="345"/>
      <c r="Q182" s="2242"/>
      <c r="R182" s="2243"/>
      <c r="S182" s="2106"/>
      <c r="T182" s="2107"/>
      <c r="U182" s="2107"/>
      <c r="V182" s="2107"/>
      <c r="W182" s="2108"/>
      <c r="Y182" s="286">
        <f>IF(Q181="Please Explain",1,0)</f>
        <v>0</v>
      </c>
      <c r="Z182" s="286">
        <f>IF(S181="",1,0)</f>
        <v>1</v>
      </c>
      <c r="AI182" s="15"/>
    </row>
    <row r="183" spans="2:35" ht="18.75" customHeight="1">
      <c r="B183" s="2177"/>
      <c r="C183" s="2178"/>
      <c r="D183" s="2178"/>
      <c r="E183" s="2177"/>
      <c r="F183" s="2178"/>
      <c r="G183" s="2193"/>
      <c r="H183" s="2215"/>
      <c r="I183" s="2217"/>
      <c r="J183" s="413"/>
      <c r="K183" s="413"/>
      <c r="L183" s="413"/>
      <c r="M183" s="413"/>
      <c r="N183" s="413"/>
      <c r="O183" s="344"/>
      <c r="P183" s="345"/>
      <c r="Q183" s="2242"/>
      <c r="R183" s="2243"/>
      <c r="S183" s="2106"/>
      <c r="T183" s="2107"/>
      <c r="U183" s="2107"/>
      <c r="V183" s="2107"/>
      <c r="W183" s="2108"/>
      <c r="AI183" s="15"/>
    </row>
    <row r="184" spans="2:35" ht="50.25" customHeight="1">
      <c r="B184" s="2179"/>
      <c r="C184" s="2180"/>
      <c r="D184" s="2180"/>
      <c r="E184" s="2179"/>
      <c r="F184" s="2180"/>
      <c r="G184" s="2194"/>
      <c r="H184" s="2218"/>
      <c r="I184" s="2220"/>
      <c r="J184" s="1134"/>
      <c r="K184" s="1134"/>
      <c r="L184" s="1134"/>
      <c r="M184" s="1134"/>
      <c r="N184" s="1134"/>
      <c r="O184" s="346"/>
      <c r="P184" s="347"/>
      <c r="Q184" s="2244"/>
      <c r="R184" s="2245"/>
      <c r="S184" s="2109"/>
      <c r="T184" s="2110"/>
      <c r="U184" s="2110"/>
      <c r="V184" s="2110"/>
      <c r="W184" s="2111"/>
      <c r="AI184" s="15"/>
    </row>
    <row r="185" spans="2:35" s="15" customFormat="1" ht="4.5" customHeight="1">
      <c r="B185" s="1129"/>
      <c r="C185" s="1129"/>
      <c r="D185" s="1129"/>
      <c r="E185" s="1129"/>
      <c r="F185" s="1129"/>
      <c r="G185" s="1129"/>
      <c r="H185" s="1129"/>
      <c r="I185" s="1129"/>
      <c r="J185" s="243"/>
      <c r="K185" s="243"/>
      <c r="L185" s="243"/>
      <c r="M185" s="243"/>
      <c r="N185" s="243"/>
      <c r="O185" s="243"/>
      <c r="P185" s="243"/>
      <c r="Q185" s="243"/>
      <c r="R185" s="243"/>
      <c r="S185" s="243"/>
      <c r="T185" s="243"/>
      <c r="U185" s="243"/>
      <c r="V185" s="243"/>
      <c r="W185" s="243"/>
    </row>
    <row r="186" spans="2:35" ht="20.25" customHeight="1">
      <c r="B186" s="2175" t="s">
        <v>72</v>
      </c>
      <c r="C186" s="2176"/>
      <c r="D186" s="2176"/>
      <c r="E186" s="2212">
        <v>1.2</v>
      </c>
      <c r="F186" s="2213"/>
      <c r="G186" s="2214"/>
      <c r="H186" s="2212">
        <v>1.4</v>
      </c>
      <c r="I186" s="2214"/>
      <c r="J186" s="300"/>
      <c r="K186" s="300"/>
      <c r="L186" s="300"/>
      <c r="M186" s="300"/>
      <c r="N186" s="300"/>
      <c r="O186" s="304"/>
      <c r="P186" s="336"/>
      <c r="Q186" s="2240" t="str">
        <f>IF(AND('Project Info and Instructions'!F20&lt;&gt;"Owner-occupied",O187&lt;&gt;""),IF(OR(O187&lt;1.2,O187&gt;1.4),"Please Explain","OK"),"")</f>
        <v/>
      </c>
      <c r="R186" s="2241"/>
      <c r="S186" s="2228"/>
      <c r="T186" s="2229"/>
      <c r="U186" s="2229"/>
      <c r="V186" s="2229"/>
      <c r="W186" s="2230"/>
      <c r="AI186" s="15"/>
    </row>
    <row r="187" spans="2:35" ht="14.25" customHeight="1">
      <c r="B187" s="2177"/>
      <c r="C187" s="2178"/>
      <c r="D187" s="2178"/>
      <c r="E187" s="2215"/>
      <c r="F187" s="2216"/>
      <c r="G187" s="2217"/>
      <c r="H187" s="2215"/>
      <c r="I187" s="2217"/>
      <c r="J187" s="1131"/>
      <c r="K187" s="2100" t="s">
        <v>1030</v>
      </c>
      <c r="L187" s="2100"/>
      <c r="M187" s="2100"/>
      <c r="N187" s="2100"/>
      <c r="O187" s="970" t="str">
        <f>'C(1)-Rental Operating ProForma'!K58</f>
        <v/>
      </c>
      <c r="P187" s="337"/>
      <c r="Q187" s="2242"/>
      <c r="R187" s="2243"/>
      <c r="S187" s="2231"/>
      <c r="T187" s="2232"/>
      <c r="U187" s="2232"/>
      <c r="V187" s="2232"/>
      <c r="W187" s="2233"/>
      <c r="Y187" s="286">
        <f>IF(Q186="Please Explain",1,0)</f>
        <v>0</v>
      </c>
      <c r="Z187" s="286">
        <f>IF(S186="",1,0)</f>
        <v>1</v>
      </c>
      <c r="AI187" s="15"/>
    </row>
    <row r="188" spans="2:35" ht="19.5" customHeight="1">
      <c r="B188" s="2177"/>
      <c r="C188" s="2178"/>
      <c r="D188" s="2178"/>
      <c r="E188" s="2215"/>
      <c r="F188" s="2216"/>
      <c r="G188" s="2217"/>
      <c r="H188" s="2215"/>
      <c r="I188" s="2217"/>
      <c r="J188" s="313"/>
      <c r="K188" s="313"/>
      <c r="L188" s="313"/>
      <c r="M188" s="313"/>
      <c r="N188" s="313"/>
      <c r="O188" s="309"/>
      <c r="P188" s="337"/>
      <c r="Q188" s="2242"/>
      <c r="R188" s="2243"/>
      <c r="S188" s="2231"/>
      <c r="T188" s="2232"/>
      <c r="U188" s="2232"/>
      <c r="V188" s="2232"/>
      <c r="W188" s="2233"/>
      <c r="AI188" s="15"/>
    </row>
    <row r="189" spans="2:35" ht="43.5" customHeight="1">
      <c r="B189" s="2179"/>
      <c r="C189" s="2180"/>
      <c r="D189" s="2180"/>
      <c r="E189" s="2218"/>
      <c r="F189" s="2219"/>
      <c r="G189" s="2220"/>
      <c r="H189" s="2218"/>
      <c r="I189" s="2220"/>
      <c r="J189" s="302"/>
      <c r="K189" s="302"/>
      <c r="L189" s="302"/>
      <c r="M189" s="302"/>
      <c r="N189" s="302"/>
      <c r="O189" s="311"/>
      <c r="P189" s="339"/>
      <c r="Q189" s="2244"/>
      <c r="R189" s="2245"/>
      <c r="S189" s="2234"/>
      <c r="T189" s="2235"/>
      <c r="U189" s="2235"/>
      <c r="V189" s="2235"/>
      <c r="W189" s="2236"/>
      <c r="AI189" s="15"/>
    </row>
    <row r="190" spans="2:35" ht="4.5" customHeight="1">
      <c r="B190" s="1135"/>
      <c r="C190" s="1135"/>
      <c r="D190" s="1135"/>
      <c r="E190" s="1136"/>
      <c r="F190" s="1136"/>
      <c r="G190" s="1136"/>
      <c r="H190" s="1136"/>
      <c r="I190" s="1136"/>
      <c r="J190" s="313"/>
      <c r="K190" s="313"/>
      <c r="L190" s="313"/>
      <c r="M190" s="313"/>
      <c r="N190" s="313"/>
      <c r="O190" s="309"/>
      <c r="P190" s="337"/>
      <c r="Q190" s="427"/>
      <c r="R190" s="427"/>
      <c r="S190" s="503"/>
      <c r="T190" s="503"/>
      <c r="U190" s="503"/>
      <c r="V190" s="503"/>
      <c r="W190" s="503"/>
      <c r="AI190" s="15"/>
    </row>
    <row r="191" spans="2:35" ht="12" customHeight="1">
      <c r="B191" s="2186" t="s">
        <v>56</v>
      </c>
      <c r="C191" s="2186"/>
      <c r="D191" s="2186"/>
      <c r="E191" s="2186" t="s">
        <v>16</v>
      </c>
      <c r="F191" s="2186"/>
      <c r="G191" s="2186"/>
      <c r="H191" s="2186" t="s">
        <v>889</v>
      </c>
      <c r="I191" s="2186"/>
      <c r="J191" s="1137"/>
      <c r="K191" s="958"/>
      <c r="L191" s="958"/>
      <c r="M191" s="958"/>
      <c r="N191" s="958"/>
      <c r="O191" s="958"/>
      <c r="P191" s="959"/>
      <c r="Q191" s="2246" t="str">
        <f>IF(O198&lt;&gt;"",IF(O198&gt;0.15,"Please Explain","OK"),"")</f>
        <v/>
      </c>
      <c r="R191" s="2246"/>
      <c r="S191" s="2228"/>
      <c r="T191" s="2229"/>
      <c r="U191" s="2229"/>
      <c r="V191" s="2229"/>
      <c r="W191" s="2230"/>
      <c r="AI191" s="15"/>
    </row>
    <row r="192" spans="2:35" ht="14.25" customHeight="1">
      <c r="B192" s="2187"/>
      <c r="C192" s="2187"/>
      <c r="D192" s="2187"/>
      <c r="E192" s="2187"/>
      <c r="F192" s="2187"/>
      <c r="G192" s="2187"/>
      <c r="H192" s="2187"/>
      <c r="I192" s="2187"/>
      <c r="J192" s="1138"/>
      <c r="K192" s="2181" t="s">
        <v>896</v>
      </c>
      <c r="L192" s="2181"/>
      <c r="M192" s="2181"/>
      <c r="N192" s="2181"/>
      <c r="O192" s="971">
        <f>'C(1)-Rental Operating ProForma'!K66</f>
        <v>0</v>
      </c>
      <c r="P192" s="960"/>
      <c r="Q192" s="2247"/>
      <c r="R192" s="2247"/>
      <c r="S192" s="2231"/>
      <c r="T192" s="2232"/>
      <c r="U192" s="2232"/>
      <c r="V192" s="2232"/>
      <c r="W192" s="2233"/>
      <c r="AI192" s="15"/>
    </row>
    <row r="193" spans="2:35" ht="10.5" customHeight="1">
      <c r="B193" s="2187"/>
      <c r="C193" s="2187"/>
      <c r="D193" s="2187"/>
      <c r="E193" s="2187"/>
      <c r="F193" s="2187"/>
      <c r="G193" s="2187"/>
      <c r="H193" s="2187"/>
      <c r="I193" s="2187"/>
      <c r="J193" s="1138"/>
      <c r="K193" s="2221"/>
      <c r="L193" s="2221"/>
      <c r="M193" s="2221"/>
      <c r="N193" s="1139"/>
      <c r="O193" s="439" t="s">
        <v>848</v>
      </c>
      <c r="P193" s="960"/>
      <c r="Q193" s="2247"/>
      <c r="R193" s="2247"/>
      <c r="S193" s="2231"/>
      <c r="T193" s="2232"/>
      <c r="U193" s="2232"/>
      <c r="V193" s="2232"/>
      <c r="W193" s="2233"/>
      <c r="AI193" s="15"/>
    </row>
    <row r="194" spans="2:35" ht="14.25" customHeight="1">
      <c r="B194" s="2187"/>
      <c r="C194" s="2187"/>
      <c r="D194" s="2187"/>
      <c r="E194" s="2187"/>
      <c r="F194" s="2187"/>
      <c r="G194" s="2187"/>
      <c r="H194" s="2187"/>
      <c r="I194" s="2187"/>
      <c r="J194" s="1138"/>
      <c r="K194" s="2181" t="s">
        <v>897</v>
      </c>
      <c r="L194" s="2181"/>
      <c r="M194" s="2181"/>
      <c r="N194" s="2181"/>
      <c r="O194" s="971">
        <f>'C(1)-Rental Operating ProForma'!K37</f>
        <v>0</v>
      </c>
      <c r="P194" s="960"/>
      <c r="Q194" s="2247"/>
      <c r="R194" s="2247"/>
      <c r="S194" s="2231"/>
      <c r="T194" s="2232"/>
      <c r="U194" s="2232"/>
      <c r="V194" s="2232"/>
      <c r="W194" s="2233"/>
      <c r="Y194" s="286">
        <f>IF(Q191="Please Explain",1,0)</f>
        <v>0</v>
      </c>
      <c r="Z194" s="286">
        <f>IF(S191="",1,0)</f>
        <v>1</v>
      </c>
      <c r="AI194" s="15"/>
    </row>
    <row r="195" spans="2:35" ht="10.5" customHeight="1">
      <c r="B195" s="2187"/>
      <c r="C195" s="2187"/>
      <c r="D195" s="2187"/>
      <c r="E195" s="2187"/>
      <c r="F195" s="2187"/>
      <c r="G195" s="2187"/>
      <c r="H195" s="2187"/>
      <c r="I195" s="2187"/>
      <c r="J195" s="1138"/>
      <c r="K195" s="1140"/>
      <c r="L195" s="1140"/>
      <c r="M195" s="1140"/>
      <c r="N195" s="1139"/>
      <c r="O195" s="439" t="s">
        <v>131</v>
      </c>
      <c r="P195" s="960"/>
      <c r="Q195" s="2247"/>
      <c r="R195" s="2247"/>
      <c r="S195" s="2231"/>
      <c r="T195" s="2232"/>
      <c r="U195" s="2232"/>
      <c r="V195" s="2232"/>
      <c r="W195" s="2233"/>
      <c r="AI195" s="15"/>
    </row>
    <row r="196" spans="2:35" ht="14.25" customHeight="1">
      <c r="B196" s="2187"/>
      <c r="C196" s="2187"/>
      <c r="D196" s="2187"/>
      <c r="E196" s="2187"/>
      <c r="F196" s="2187"/>
      <c r="G196" s="2187"/>
      <c r="H196" s="2187"/>
      <c r="I196" s="2187"/>
      <c r="J196" s="1138"/>
      <c r="K196" s="2181" t="s">
        <v>1031</v>
      </c>
      <c r="L196" s="2181"/>
      <c r="M196" s="2181"/>
      <c r="N196" s="2181"/>
      <c r="O196" s="971">
        <f>'C(1)-Rental Operating ProForma'!K24</f>
        <v>0</v>
      </c>
      <c r="P196" s="960"/>
      <c r="Q196" s="2247"/>
      <c r="R196" s="2247"/>
      <c r="S196" s="2231"/>
      <c r="T196" s="2232"/>
      <c r="U196" s="2232"/>
      <c r="V196" s="2232"/>
      <c r="W196" s="2233"/>
      <c r="AI196" s="15"/>
    </row>
    <row r="197" spans="2:35" ht="10.5" customHeight="1">
      <c r="B197" s="2187"/>
      <c r="C197" s="2187"/>
      <c r="D197" s="2187"/>
      <c r="E197" s="2187"/>
      <c r="F197" s="2187"/>
      <c r="G197" s="2187"/>
      <c r="H197" s="2187"/>
      <c r="I197" s="2187"/>
      <c r="J197" s="1138"/>
      <c r="K197" s="1140"/>
      <c r="L197" s="1140"/>
      <c r="M197" s="1140"/>
      <c r="N197" s="1139"/>
      <c r="O197" s="778" t="s">
        <v>133</v>
      </c>
      <c r="P197" s="960"/>
      <c r="Q197" s="2247"/>
      <c r="R197" s="2247"/>
      <c r="S197" s="2231"/>
      <c r="T197" s="2232"/>
      <c r="U197" s="2232"/>
      <c r="V197" s="2232"/>
      <c r="W197" s="2233"/>
      <c r="AI197" s="15"/>
    </row>
    <row r="198" spans="2:35" ht="14.25" customHeight="1">
      <c r="B198" s="2187"/>
      <c r="C198" s="2187"/>
      <c r="D198" s="2187"/>
      <c r="E198" s="2187"/>
      <c r="F198" s="2187"/>
      <c r="G198" s="2187"/>
      <c r="H198" s="2187"/>
      <c r="I198" s="2187"/>
      <c r="J198" s="1138"/>
      <c r="K198" s="2181"/>
      <c r="L198" s="2181"/>
      <c r="M198" s="2181"/>
      <c r="N198" s="2181"/>
      <c r="O198" s="972" t="str">
        <f>IFERROR(ROUND((O192+O194)/O196,4),"")</f>
        <v/>
      </c>
      <c r="P198" s="960"/>
      <c r="Q198" s="2247"/>
      <c r="R198" s="2247"/>
      <c r="S198" s="2231"/>
      <c r="T198" s="2232"/>
      <c r="U198" s="2232"/>
      <c r="V198" s="2232"/>
      <c r="W198" s="2233"/>
      <c r="AI198" s="15"/>
    </row>
    <row r="199" spans="2:35" ht="5.25" customHeight="1">
      <c r="B199" s="2188"/>
      <c r="C199" s="2188"/>
      <c r="D199" s="2188"/>
      <c r="E199" s="2188"/>
      <c r="F199" s="2188"/>
      <c r="G199" s="2188"/>
      <c r="H199" s="2188"/>
      <c r="I199" s="2188"/>
      <c r="J199" s="1141"/>
      <c r="K199" s="961"/>
      <c r="L199" s="961"/>
      <c r="M199" s="961"/>
      <c r="N199" s="961"/>
      <c r="O199" s="961"/>
      <c r="P199" s="962"/>
      <c r="Q199" s="2248"/>
      <c r="R199" s="2248"/>
      <c r="S199" s="2234"/>
      <c r="T199" s="2235"/>
      <c r="U199" s="2235"/>
      <c r="V199" s="2235"/>
      <c r="W199" s="2236"/>
      <c r="AI199" s="15"/>
    </row>
    <row r="200" spans="2:35" s="15" customFormat="1" ht="4.5" customHeight="1">
      <c r="B200" s="1129"/>
      <c r="C200" s="1129"/>
      <c r="D200" s="1129"/>
      <c r="E200" s="1129"/>
      <c r="F200" s="1129"/>
      <c r="G200" s="1129"/>
      <c r="H200" s="1129"/>
      <c r="I200" s="1129"/>
      <c r="J200" s="243"/>
      <c r="K200" s="243"/>
      <c r="L200" s="243"/>
      <c r="M200" s="243"/>
      <c r="N200" s="243"/>
      <c r="O200" s="243"/>
      <c r="P200" s="243"/>
      <c r="Q200" s="243"/>
      <c r="R200" s="243"/>
      <c r="S200" s="243"/>
      <c r="T200" s="243"/>
      <c r="U200" s="243"/>
      <c r="V200" s="243"/>
      <c r="W200" s="243"/>
    </row>
    <row r="201" spans="2:35" ht="12" customHeight="1">
      <c r="B201" s="2206" t="s">
        <v>18</v>
      </c>
      <c r="C201" s="2207"/>
      <c r="D201" s="2207"/>
      <c r="E201" s="2175" t="s">
        <v>145</v>
      </c>
      <c r="F201" s="2176"/>
      <c r="G201" s="2192"/>
      <c r="H201" s="2175" t="s">
        <v>41</v>
      </c>
      <c r="I201" s="2192"/>
      <c r="J201" s="300"/>
      <c r="K201" s="300"/>
      <c r="L201" s="300"/>
      <c r="M201" s="300"/>
      <c r="N201" s="300"/>
      <c r="O201" s="304"/>
      <c r="P201" s="336"/>
      <c r="Q201" s="2240" t="str">
        <f>IF(O206&lt;&gt;"",IF(OR(O206&lt;200,O206&gt;350),"Please Explain","OK"),"")</f>
        <v/>
      </c>
      <c r="R201" s="2241"/>
      <c r="S201" s="2228"/>
      <c r="T201" s="2229"/>
      <c r="U201" s="2229"/>
      <c r="V201" s="2229"/>
      <c r="W201" s="2230"/>
      <c r="AI201" s="15"/>
    </row>
    <row r="202" spans="2:35" ht="14.25" customHeight="1">
      <c r="B202" s="2208"/>
      <c r="C202" s="2209"/>
      <c r="D202" s="2209"/>
      <c r="E202" s="2177"/>
      <c r="F202" s="2178"/>
      <c r="G202" s="2193"/>
      <c r="H202" s="2177"/>
      <c r="I202" s="2193"/>
      <c r="J202" s="1131"/>
      <c r="K202" s="2100" t="s">
        <v>1032</v>
      </c>
      <c r="L202" s="2100"/>
      <c r="M202" s="2100"/>
      <c r="N202" s="2100"/>
      <c r="O202" s="966">
        <f>'C(1)-Rental Operating ProForma'!K36</f>
        <v>0</v>
      </c>
      <c r="P202" s="337"/>
      <c r="Q202" s="2242"/>
      <c r="R202" s="2243"/>
      <c r="S202" s="2231"/>
      <c r="T202" s="2232"/>
      <c r="U202" s="2232"/>
      <c r="V202" s="2232"/>
      <c r="W202" s="2233"/>
      <c r="AI202" s="15"/>
    </row>
    <row r="203" spans="2:35" ht="10.5" customHeight="1">
      <c r="B203" s="2208"/>
      <c r="C203" s="2209"/>
      <c r="D203" s="2209"/>
      <c r="E203" s="2177"/>
      <c r="F203" s="2178"/>
      <c r="G203" s="2193"/>
      <c r="H203" s="2177"/>
      <c r="I203" s="2193"/>
      <c r="J203" s="295"/>
      <c r="K203" s="295"/>
      <c r="L203" s="295"/>
      <c r="M203" s="295"/>
      <c r="N203" s="295"/>
      <c r="O203" s="439" t="s">
        <v>131</v>
      </c>
      <c r="P203" s="337"/>
      <c r="Q203" s="2242"/>
      <c r="R203" s="2243"/>
      <c r="S203" s="2231"/>
      <c r="T203" s="2232"/>
      <c r="U203" s="2232"/>
      <c r="V203" s="2232"/>
      <c r="W203" s="2233"/>
      <c r="AI203" s="15"/>
    </row>
    <row r="204" spans="2:35" ht="14.25" customHeight="1">
      <c r="B204" s="2208"/>
      <c r="C204" s="2209"/>
      <c r="D204" s="2209"/>
      <c r="E204" s="2177"/>
      <c r="F204" s="2178"/>
      <c r="G204" s="2193"/>
      <c r="H204" s="2177"/>
      <c r="I204" s="2193"/>
      <c r="J204" s="1131"/>
      <c r="K204" s="2100" t="s">
        <v>895</v>
      </c>
      <c r="L204" s="2100"/>
      <c r="M204" s="2100"/>
      <c r="N204" s="2100"/>
      <c r="O204" s="968">
        <f>'B-Rent Schedule'!K66</f>
        <v>0</v>
      </c>
      <c r="P204" s="337"/>
      <c r="Q204" s="2242"/>
      <c r="R204" s="2243"/>
      <c r="S204" s="2231"/>
      <c r="T204" s="2232"/>
      <c r="U204" s="2232"/>
      <c r="V204" s="2232"/>
      <c r="W204" s="2233"/>
      <c r="Y204" s="286">
        <f>IF(Q201="Please Explain",1,0)</f>
        <v>0</v>
      </c>
      <c r="Z204" s="286">
        <f>IF(S201="",1,0)</f>
        <v>1</v>
      </c>
      <c r="AI204" s="15"/>
    </row>
    <row r="205" spans="2:35" ht="10.5" customHeight="1">
      <c r="B205" s="2208"/>
      <c r="C205" s="2209"/>
      <c r="D205" s="2209"/>
      <c r="E205" s="2177"/>
      <c r="F205" s="2178"/>
      <c r="G205" s="2193"/>
      <c r="H205" s="2177"/>
      <c r="I205" s="2193"/>
      <c r="J205" s="295"/>
      <c r="K205" s="295"/>
      <c r="L205" s="295"/>
      <c r="M205" s="295"/>
      <c r="N205" s="295"/>
      <c r="O205" s="778" t="s">
        <v>133</v>
      </c>
      <c r="P205" s="337"/>
      <c r="Q205" s="2242"/>
      <c r="R205" s="2243"/>
      <c r="S205" s="2231"/>
      <c r="T205" s="2232"/>
      <c r="U205" s="2232"/>
      <c r="V205" s="2232"/>
      <c r="W205" s="2233"/>
      <c r="AB205" s="286">
        <f>IF(AND(O206&gt;=200,O206&lt;=350),1,0)</f>
        <v>0</v>
      </c>
      <c r="AI205" s="15"/>
    </row>
    <row r="206" spans="2:35" ht="14.25" customHeight="1">
      <c r="B206" s="2208"/>
      <c r="C206" s="2209"/>
      <c r="D206" s="2209"/>
      <c r="E206" s="2177"/>
      <c r="F206" s="2178"/>
      <c r="G206" s="2193"/>
      <c r="H206" s="2177"/>
      <c r="I206" s="2193"/>
      <c r="J206" s="1131"/>
      <c r="K206" s="2100" t="s">
        <v>1033</v>
      </c>
      <c r="L206" s="2100"/>
      <c r="M206" s="2100"/>
      <c r="N206" s="2100"/>
      <c r="O206" s="969" t="str">
        <f>IFERROR(ROUND(O202/O204,0),"")</f>
        <v/>
      </c>
      <c r="P206" s="337"/>
      <c r="Q206" s="2242"/>
      <c r="R206" s="2243"/>
      <c r="S206" s="2231"/>
      <c r="T206" s="2232"/>
      <c r="U206" s="2232"/>
      <c r="V206" s="2232"/>
      <c r="W206" s="2233"/>
      <c r="AI206" s="15"/>
    </row>
    <row r="207" spans="2:35" ht="12" customHeight="1">
      <c r="B207" s="2210"/>
      <c r="C207" s="2211"/>
      <c r="D207" s="2211"/>
      <c r="E207" s="2179"/>
      <c r="F207" s="2180"/>
      <c r="G207" s="2194"/>
      <c r="H207" s="2179"/>
      <c r="I207" s="2194"/>
      <c r="J207" s="302"/>
      <c r="K207" s="302"/>
      <c r="L207" s="302"/>
      <c r="M207" s="302"/>
      <c r="N207" s="302"/>
      <c r="O207" s="311"/>
      <c r="P207" s="339"/>
      <c r="Q207" s="2244"/>
      <c r="R207" s="2245"/>
      <c r="S207" s="2234"/>
      <c r="T207" s="2235"/>
      <c r="U207" s="2235"/>
      <c r="V207" s="2235"/>
      <c r="W207" s="2236"/>
      <c r="AI207" s="15"/>
    </row>
    <row r="208" spans="2:35" s="15" customFormat="1" ht="4.5" customHeight="1">
      <c r="B208" s="1129"/>
      <c r="C208" s="1129"/>
      <c r="D208" s="1129"/>
      <c r="E208" s="1129"/>
      <c r="F208" s="1129"/>
      <c r="G208" s="1129"/>
      <c r="H208" s="1129"/>
      <c r="I208" s="1129"/>
      <c r="J208" s="243"/>
      <c r="K208" s="243"/>
      <c r="L208" s="243"/>
      <c r="M208" s="243"/>
      <c r="N208" s="243"/>
      <c r="O208" s="243"/>
      <c r="P208" s="243"/>
      <c r="Q208" s="243"/>
      <c r="R208" s="243"/>
      <c r="S208" s="243"/>
      <c r="T208" s="243"/>
      <c r="U208" s="243"/>
      <c r="V208" s="243"/>
      <c r="W208" s="243"/>
    </row>
    <row r="209" spans="2:67" ht="12" customHeight="1">
      <c r="B209" s="2206" t="s">
        <v>19</v>
      </c>
      <c r="C209" s="2207"/>
      <c r="D209" s="2207"/>
      <c r="E209" s="2175" t="s">
        <v>146</v>
      </c>
      <c r="F209" s="2176"/>
      <c r="G209" s="2192"/>
      <c r="H209" s="2175" t="s">
        <v>42</v>
      </c>
      <c r="I209" s="2192"/>
      <c r="J209" s="348"/>
      <c r="K209" s="348"/>
      <c r="L209" s="348"/>
      <c r="M209" s="348"/>
      <c r="N209" s="348"/>
      <c r="O209" s="348"/>
      <c r="P209" s="349"/>
      <c r="Q209" s="2240" t="str">
        <f>IF(Y212&lt;0.01,IF(O214&lt;&gt;"",IF(OR(O214&lt;100,O214&gt;300),"Please Explain","OK"),""),"N/A - Capitalized Operating Reserves Indicated on the Uses Statement")</f>
        <v/>
      </c>
      <c r="R209" s="2241"/>
      <c r="S209" s="2228"/>
      <c r="T209" s="2229"/>
      <c r="U209" s="2229"/>
      <c r="V209" s="2229"/>
      <c r="W209" s="2230"/>
      <c r="AI209" s="15"/>
    </row>
    <row r="210" spans="2:67" ht="14.25" customHeight="1">
      <c r="B210" s="2208"/>
      <c r="C210" s="2209"/>
      <c r="D210" s="2209"/>
      <c r="E210" s="2177"/>
      <c r="F210" s="2178"/>
      <c r="G210" s="2193"/>
      <c r="H210" s="2177"/>
      <c r="I210" s="2193"/>
      <c r="J210" s="1131"/>
      <c r="K210" s="2100" t="s">
        <v>897</v>
      </c>
      <c r="L210" s="2100"/>
      <c r="M210" s="2100"/>
      <c r="N210" s="2100"/>
      <c r="O210" s="966">
        <f>'C(1)-Rental Operating ProForma'!K37</f>
        <v>0</v>
      </c>
      <c r="P210" s="350"/>
      <c r="Q210" s="2242"/>
      <c r="R210" s="2243"/>
      <c r="S210" s="2231"/>
      <c r="T210" s="2232"/>
      <c r="U210" s="2232"/>
      <c r="V210" s="2232"/>
      <c r="W210" s="2233"/>
      <c r="AI210" s="15"/>
    </row>
    <row r="211" spans="2:67" ht="10.5" customHeight="1">
      <c r="B211" s="2208"/>
      <c r="C211" s="2209"/>
      <c r="D211" s="2209"/>
      <c r="E211" s="2177"/>
      <c r="F211" s="2178"/>
      <c r="G211" s="2193"/>
      <c r="H211" s="2177"/>
      <c r="I211" s="2193"/>
      <c r="J211" s="295"/>
      <c r="K211" s="295"/>
      <c r="L211" s="295"/>
      <c r="M211" s="295"/>
      <c r="N211" s="295"/>
      <c r="O211" s="439" t="s">
        <v>131</v>
      </c>
      <c r="P211" s="350"/>
      <c r="Q211" s="2242"/>
      <c r="R211" s="2243"/>
      <c r="S211" s="2231"/>
      <c r="T211" s="2232"/>
      <c r="U211" s="2232"/>
      <c r="V211" s="2232"/>
      <c r="W211" s="2233"/>
      <c r="Y211" s="286">
        <f>IF(Q209="Please Explain",1,0)</f>
        <v>0</v>
      </c>
      <c r="Z211" s="286">
        <f>IF(S209="",1,0)</f>
        <v>1</v>
      </c>
      <c r="AB211" s="286">
        <f>IF(AND(O214&gt;=100,O206&lt;=300),1,0)</f>
        <v>0</v>
      </c>
      <c r="AI211" s="15"/>
      <c r="BO211" s="430"/>
    </row>
    <row r="212" spans="2:67" ht="14.25" customHeight="1">
      <c r="B212" s="2208"/>
      <c r="C212" s="2209"/>
      <c r="D212" s="2209"/>
      <c r="E212" s="2177"/>
      <c r="F212" s="2178"/>
      <c r="G212" s="2193"/>
      <c r="H212" s="2177"/>
      <c r="I212" s="2193"/>
      <c r="J212" s="1131"/>
      <c r="K212" s="2100" t="s">
        <v>895</v>
      </c>
      <c r="L212" s="2100"/>
      <c r="M212" s="2100"/>
      <c r="N212" s="2100"/>
      <c r="O212" s="968">
        <f>'B-Rent Schedule'!K66</f>
        <v>0</v>
      </c>
      <c r="P212" s="350"/>
      <c r="Q212" s="2242"/>
      <c r="R212" s="2243"/>
      <c r="S212" s="2231"/>
      <c r="T212" s="2232"/>
      <c r="U212" s="2232"/>
      <c r="V212" s="2232"/>
      <c r="W212" s="2233"/>
      <c r="Y212" s="356">
        <f>'A(2)-Uses Statement'!$M$66</f>
        <v>0</v>
      </c>
      <c r="BO212" s="430"/>
    </row>
    <row r="213" spans="2:67" ht="10.5" customHeight="1">
      <c r="B213" s="2208"/>
      <c r="C213" s="2209"/>
      <c r="D213" s="2209"/>
      <c r="E213" s="2177"/>
      <c r="F213" s="2178"/>
      <c r="G213" s="2193"/>
      <c r="H213" s="2177"/>
      <c r="I213" s="2193"/>
      <c r="J213" s="295"/>
      <c r="K213" s="295"/>
      <c r="L213" s="295"/>
      <c r="M213" s="295"/>
      <c r="N213" s="295"/>
      <c r="O213" s="778" t="s">
        <v>133</v>
      </c>
      <c r="P213" s="350"/>
      <c r="Q213" s="2242"/>
      <c r="R213" s="2243"/>
      <c r="S213" s="2231"/>
      <c r="T213" s="2232"/>
      <c r="U213" s="2232"/>
      <c r="V213" s="2232"/>
      <c r="W213" s="2233"/>
    </row>
    <row r="214" spans="2:67" ht="14.25" customHeight="1">
      <c r="B214" s="2208"/>
      <c r="C214" s="2209"/>
      <c r="D214" s="2209"/>
      <c r="E214" s="2177"/>
      <c r="F214" s="2178"/>
      <c r="G214" s="2193"/>
      <c r="H214" s="2177"/>
      <c r="I214" s="2193"/>
      <c r="J214" s="1131"/>
      <c r="K214" s="2100" t="s">
        <v>1034</v>
      </c>
      <c r="L214" s="2100"/>
      <c r="M214" s="2100"/>
      <c r="N214" s="2100"/>
      <c r="O214" s="969" t="str">
        <f>IFERROR(ROUND(O210/O212,0),"")</f>
        <v/>
      </c>
      <c r="P214" s="350"/>
      <c r="Q214" s="2242"/>
      <c r="R214" s="2243"/>
      <c r="S214" s="2231"/>
      <c r="T214" s="2232"/>
      <c r="U214" s="2232"/>
      <c r="V214" s="2232"/>
      <c r="W214" s="2233"/>
    </row>
    <row r="215" spans="2:67" ht="7.5" customHeight="1">
      <c r="B215" s="2210"/>
      <c r="C215" s="2211"/>
      <c r="D215" s="2211"/>
      <c r="E215" s="2179"/>
      <c r="F215" s="2180"/>
      <c r="G215" s="2194"/>
      <c r="H215" s="2179"/>
      <c r="I215" s="2194"/>
      <c r="J215" s="351"/>
      <c r="K215" s="351"/>
      <c r="L215" s="351"/>
      <c r="M215" s="351"/>
      <c r="N215" s="351"/>
      <c r="O215" s="351"/>
      <c r="P215" s="352"/>
      <c r="Q215" s="2244"/>
      <c r="R215" s="2245"/>
      <c r="S215" s="2234"/>
      <c r="T215" s="2235"/>
      <c r="U215" s="2235"/>
      <c r="V215" s="2235"/>
      <c r="W215" s="2236"/>
    </row>
    <row r="216" spans="2:67" s="15" customFormat="1" ht="4.5" customHeight="1">
      <c r="B216" s="1129"/>
      <c r="C216" s="1129"/>
      <c r="D216" s="1129"/>
      <c r="E216" s="1129"/>
      <c r="F216" s="1129"/>
      <c r="G216" s="1129"/>
      <c r="H216" s="1129"/>
      <c r="I216" s="1129"/>
      <c r="J216" s="243"/>
      <c r="K216" s="243"/>
      <c r="L216" s="243"/>
      <c r="M216" s="243"/>
      <c r="N216" s="243"/>
      <c r="O216" s="243"/>
      <c r="P216" s="243"/>
      <c r="Q216" s="243"/>
      <c r="R216" s="243"/>
      <c r="S216" s="243"/>
      <c r="T216" s="243"/>
      <c r="U216" s="243"/>
      <c r="V216" s="243"/>
      <c r="W216" s="243"/>
    </row>
    <row r="217" spans="2:67" ht="11.25" customHeight="1">
      <c r="B217" s="2175" t="s">
        <v>147</v>
      </c>
      <c r="C217" s="2176"/>
      <c r="D217" s="2192"/>
      <c r="E217" s="2197">
        <v>0.02</v>
      </c>
      <c r="F217" s="2198"/>
      <c r="G217" s="2199"/>
      <c r="H217" s="2197">
        <v>0.04</v>
      </c>
      <c r="I217" s="2199"/>
      <c r="J217" s="1142"/>
      <c r="K217" s="1130"/>
      <c r="L217" s="1130"/>
      <c r="M217" s="1143"/>
      <c r="N217" s="1143"/>
      <c r="O217" s="304"/>
      <c r="P217" s="336"/>
      <c r="Q217" s="2222" t="str">
        <f>IF(O222&lt;&gt;"",IF(OR(O222&lt;=0.01999999999,O222&gt;0.04),"Please Explain","OK"),"")</f>
        <v/>
      </c>
      <c r="R217" s="2223"/>
      <c r="S217" s="2228"/>
      <c r="T217" s="2229"/>
      <c r="U217" s="2229"/>
      <c r="V217" s="2229"/>
      <c r="W217" s="2230"/>
    </row>
    <row r="218" spans="2:67" ht="14.25" customHeight="1">
      <c r="B218" s="2177"/>
      <c r="C218" s="2178"/>
      <c r="D218" s="2193"/>
      <c r="E218" s="2200"/>
      <c r="F218" s="2201"/>
      <c r="G218" s="2202"/>
      <c r="H218" s="2200"/>
      <c r="I218" s="2202"/>
      <c r="J218" s="1144"/>
      <c r="K218" s="2076" t="s">
        <v>1035</v>
      </c>
      <c r="L218" s="2076"/>
      <c r="M218" s="2076"/>
      <c r="N218" s="2076"/>
      <c r="O218" s="966">
        <f>'C(1)-Rental Operating ProForma'!K16</f>
        <v>0</v>
      </c>
      <c r="P218" s="337"/>
      <c r="Q218" s="2224"/>
      <c r="R218" s="2225"/>
      <c r="S218" s="2231"/>
      <c r="T218" s="2232"/>
      <c r="U218" s="2232"/>
      <c r="V218" s="2232"/>
      <c r="W218" s="2233"/>
      <c r="Y218" s="286">
        <f>IF(Q217="Please Explain",1,0)</f>
        <v>0</v>
      </c>
      <c r="Z218" s="286">
        <f>IF(S217="",1,0)</f>
        <v>1</v>
      </c>
    </row>
    <row r="219" spans="2:67" ht="4.5" customHeight="1">
      <c r="B219" s="2177"/>
      <c r="C219" s="2178"/>
      <c r="D219" s="2193"/>
      <c r="E219" s="2200"/>
      <c r="F219" s="2201"/>
      <c r="G219" s="2202"/>
      <c r="H219" s="2200"/>
      <c r="I219" s="2202"/>
      <c r="J219" s="1144"/>
      <c r="K219" s="298"/>
      <c r="L219" s="298"/>
      <c r="M219" s="301"/>
      <c r="N219" s="301"/>
      <c r="O219" s="301"/>
      <c r="P219" s="353"/>
      <c r="Q219" s="2224"/>
      <c r="R219" s="2225"/>
      <c r="S219" s="2231"/>
      <c r="T219" s="2232"/>
      <c r="U219" s="2232"/>
      <c r="V219" s="2232"/>
      <c r="W219" s="2233"/>
      <c r="AB219" s="354"/>
    </row>
    <row r="220" spans="2:67" ht="14.25" customHeight="1">
      <c r="B220" s="2177"/>
      <c r="C220" s="2178"/>
      <c r="D220" s="2193"/>
      <c r="E220" s="2200"/>
      <c r="F220" s="2201"/>
      <c r="G220" s="2202"/>
      <c r="H220" s="2200"/>
      <c r="I220" s="2202"/>
      <c r="J220" s="1144"/>
      <c r="K220" s="2076" t="s">
        <v>1036</v>
      </c>
      <c r="L220" s="2076"/>
      <c r="M220" s="2076"/>
      <c r="N220" s="2076"/>
      <c r="O220" s="966">
        <f>'C(1)-Rental Operating ProForma'!L16</f>
        <v>0</v>
      </c>
      <c r="P220" s="353"/>
      <c r="Q220" s="2224"/>
      <c r="R220" s="2225"/>
      <c r="S220" s="2231"/>
      <c r="T220" s="2232"/>
      <c r="U220" s="2232"/>
      <c r="V220" s="2232"/>
      <c r="W220" s="2233"/>
      <c r="AB220" s="354"/>
    </row>
    <row r="221" spans="2:67" ht="4.5" customHeight="1">
      <c r="B221" s="2177"/>
      <c r="C221" s="2178"/>
      <c r="D221" s="2193"/>
      <c r="E221" s="2200"/>
      <c r="F221" s="2201"/>
      <c r="G221" s="2202"/>
      <c r="H221" s="2200"/>
      <c r="I221" s="2202"/>
      <c r="J221" s="1145"/>
      <c r="K221" s="295"/>
      <c r="L221" s="295"/>
      <c r="M221" s="1146"/>
      <c r="N221" s="301"/>
      <c r="O221" s="301"/>
      <c r="P221" s="337"/>
      <c r="Q221" s="2224"/>
      <c r="R221" s="2225"/>
      <c r="S221" s="2231"/>
      <c r="T221" s="2232"/>
      <c r="U221" s="2232"/>
      <c r="V221" s="2232"/>
      <c r="W221" s="2233"/>
    </row>
    <row r="222" spans="2:67" ht="14.25" customHeight="1">
      <c r="B222" s="2177"/>
      <c r="C222" s="2178"/>
      <c r="D222" s="2193"/>
      <c r="E222" s="2200"/>
      <c r="F222" s="2201"/>
      <c r="G222" s="2202"/>
      <c r="H222" s="2200"/>
      <c r="I222" s="2202"/>
      <c r="J222" s="1145"/>
      <c r="K222" s="2076" t="s">
        <v>1037</v>
      </c>
      <c r="L222" s="2076"/>
      <c r="M222" s="2076"/>
      <c r="N222" s="2076"/>
      <c r="O222" s="967" t="str">
        <f>IFERROR(ROUND((O220-O218)/O218,4),"")</f>
        <v/>
      </c>
      <c r="P222" s="337"/>
      <c r="Q222" s="2224"/>
      <c r="R222" s="2225"/>
      <c r="S222" s="2231"/>
      <c r="T222" s="2232"/>
      <c r="U222" s="2232"/>
      <c r="V222" s="2232"/>
      <c r="W222" s="2233"/>
    </row>
    <row r="223" spans="2:67" ht="6" customHeight="1">
      <c r="B223" s="2177"/>
      <c r="C223" s="2178"/>
      <c r="D223" s="2193"/>
      <c r="E223" s="2200"/>
      <c r="F223" s="2201"/>
      <c r="G223" s="2202"/>
      <c r="H223" s="2200"/>
      <c r="I223" s="2202"/>
      <c r="J223" s="1144"/>
      <c r="K223" s="298"/>
      <c r="L223" s="298"/>
      <c r="M223" s="355"/>
      <c r="N223" s="355"/>
      <c r="O223" s="355"/>
      <c r="P223" s="337"/>
      <c r="Q223" s="2224"/>
      <c r="R223" s="2225"/>
      <c r="S223" s="2231"/>
      <c r="T223" s="2232"/>
      <c r="U223" s="2232"/>
      <c r="V223" s="2232"/>
      <c r="W223" s="2233"/>
    </row>
    <row r="224" spans="2:67" ht="6.75" customHeight="1">
      <c r="B224" s="2177"/>
      <c r="C224" s="2178"/>
      <c r="D224" s="2193"/>
      <c r="E224" s="2200"/>
      <c r="F224" s="2201"/>
      <c r="G224" s="2202"/>
      <c r="H224" s="2200"/>
      <c r="I224" s="2202"/>
      <c r="J224" s="1147"/>
      <c r="K224" s="315"/>
      <c r="L224" s="315"/>
      <c r="M224" s="1148"/>
      <c r="N224" s="1148"/>
      <c r="O224" s="317"/>
      <c r="P224" s="339"/>
      <c r="Q224" s="2226"/>
      <c r="R224" s="2227"/>
      <c r="S224" s="2234"/>
      <c r="T224" s="2235"/>
      <c r="U224" s="2235"/>
      <c r="V224" s="2235"/>
      <c r="W224" s="2236"/>
    </row>
    <row r="225" spans="2:26" ht="7.5" customHeight="1">
      <c r="B225" s="2177"/>
      <c r="C225" s="2178"/>
      <c r="D225" s="2193"/>
      <c r="E225" s="2200"/>
      <c r="F225" s="2201"/>
      <c r="G225" s="2202"/>
      <c r="H225" s="2200"/>
      <c r="I225" s="2202"/>
      <c r="J225" s="298"/>
      <c r="K225" s="298"/>
      <c r="L225" s="298"/>
      <c r="M225" s="1149"/>
      <c r="N225" s="1149"/>
      <c r="O225" s="309"/>
      <c r="P225" s="337"/>
      <c r="Q225" s="2224" t="str">
        <f>IF(O230&lt;&gt;"",IF(OR(O230&lt;=0.0199999999999,O230&gt;0.04),"Please Explain","OK"),"")</f>
        <v/>
      </c>
      <c r="R225" s="2225"/>
      <c r="S225" s="2228"/>
      <c r="T225" s="2229"/>
      <c r="U225" s="2229"/>
      <c r="V225" s="2229"/>
      <c r="W225" s="2230"/>
    </row>
    <row r="226" spans="2:26" ht="14.25" customHeight="1">
      <c r="B226" s="2177"/>
      <c r="C226" s="2178"/>
      <c r="D226" s="2193"/>
      <c r="E226" s="2200"/>
      <c r="F226" s="2201"/>
      <c r="G226" s="2202"/>
      <c r="H226" s="2200"/>
      <c r="I226" s="2202"/>
      <c r="J226" s="298"/>
      <c r="K226" s="2076" t="s">
        <v>1038</v>
      </c>
      <c r="L226" s="2076"/>
      <c r="M226" s="2076"/>
      <c r="N226" s="2076"/>
      <c r="O226" s="966">
        <f>'C(1)-Rental Operating ProForma'!K42</f>
        <v>0</v>
      </c>
      <c r="P226" s="337"/>
      <c r="Q226" s="2224"/>
      <c r="R226" s="2225"/>
      <c r="S226" s="2231"/>
      <c r="T226" s="2232"/>
      <c r="U226" s="2232"/>
      <c r="V226" s="2232"/>
      <c r="W226" s="2233"/>
      <c r="Z226" s="356"/>
    </row>
    <row r="227" spans="2:26" ht="4.5" customHeight="1">
      <c r="B227" s="2177"/>
      <c r="C227" s="2178"/>
      <c r="D227" s="2193"/>
      <c r="E227" s="2200"/>
      <c r="F227" s="2201"/>
      <c r="G227" s="2202"/>
      <c r="H227" s="2200"/>
      <c r="I227" s="2202"/>
      <c r="J227" s="298"/>
      <c r="K227" s="298"/>
      <c r="L227" s="298"/>
      <c r="M227" s="301"/>
      <c r="N227" s="301"/>
      <c r="O227" s="301"/>
      <c r="P227" s="337"/>
      <c r="Q227" s="2224"/>
      <c r="R227" s="2225"/>
      <c r="S227" s="2231"/>
      <c r="T227" s="2232"/>
      <c r="U227" s="2232"/>
      <c r="V227" s="2232"/>
      <c r="W227" s="2233"/>
    </row>
    <row r="228" spans="2:26" ht="14.25" customHeight="1">
      <c r="B228" s="2177"/>
      <c r="C228" s="2178"/>
      <c r="D228" s="2193"/>
      <c r="E228" s="2200"/>
      <c r="F228" s="2201"/>
      <c r="G228" s="2202"/>
      <c r="H228" s="2200"/>
      <c r="I228" s="2202"/>
      <c r="J228" s="298"/>
      <c r="K228" s="2076" t="s">
        <v>1039</v>
      </c>
      <c r="L228" s="2076"/>
      <c r="M228" s="2076"/>
      <c r="N228" s="2076"/>
      <c r="O228" s="966">
        <f>'C(1)-Rental Operating ProForma'!L42</f>
        <v>0</v>
      </c>
      <c r="P228" s="337"/>
      <c r="Q228" s="2224"/>
      <c r="R228" s="2225"/>
      <c r="S228" s="2231"/>
      <c r="T228" s="2232"/>
      <c r="U228" s="2232"/>
      <c r="V228" s="2232"/>
      <c r="W228" s="2233"/>
      <c r="Y228" s="286">
        <f>IF(Q225="Please Explain",1,0)</f>
        <v>0</v>
      </c>
      <c r="Z228" s="286">
        <f>IF(S225="",1,0)</f>
        <v>1</v>
      </c>
    </row>
    <row r="229" spans="2:26" ht="4.5" customHeight="1">
      <c r="B229" s="2177"/>
      <c r="C229" s="2178"/>
      <c r="D229" s="2193"/>
      <c r="E229" s="2200"/>
      <c r="F229" s="2201"/>
      <c r="G229" s="2202"/>
      <c r="H229" s="2200"/>
      <c r="I229" s="2202"/>
      <c r="J229" s="298"/>
      <c r="K229" s="295"/>
      <c r="L229" s="295"/>
      <c r="M229" s="1146"/>
      <c r="N229" s="301"/>
      <c r="O229" s="301"/>
      <c r="P229" s="337"/>
      <c r="Q229" s="2224"/>
      <c r="R229" s="2225"/>
      <c r="S229" s="2231"/>
      <c r="T229" s="2232"/>
      <c r="U229" s="2232"/>
      <c r="V229" s="2232"/>
      <c r="W229" s="2233"/>
    </row>
    <row r="230" spans="2:26" ht="14.25" customHeight="1">
      <c r="B230" s="2177"/>
      <c r="C230" s="2178"/>
      <c r="D230" s="2193"/>
      <c r="E230" s="2200"/>
      <c r="F230" s="2201"/>
      <c r="G230" s="2202"/>
      <c r="H230" s="2200"/>
      <c r="I230" s="2202"/>
      <c r="J230" s="298"/>
      <c r="K230" s="2076" t="s">
        <v>1040</v>
      </c>
      <c r="L230" s="2076"/>
      <c r="M230" s="2076"/>
      <c r="N230" s="2076"/>
      <c r="O230" s="967" t="str">
        <f>IFERROR((O228-O226)/O226,"")</f>
        <v/>
      </c>
      <c r="P230" s="337"/>
      <c r="Q230" s="2224"/>
      <c r="R230" s="2225"/>
      <c r="S230" s="2231"/>
      <c r="T230" s="2232"/>
      <c r="U230" s="2232"/>
      <c r="V230" s="2232"/>
      <c r="W230" s="2233"/>
    </row>
    <row r="231" spans="2:26" ht="8.25" customHeight="1">
      <c r="B231" s="2179"/>
      <c r="C231" s="2180"/>
      <c r="D231" s="2194"/>
      <c r="E231" s="2203"/>
      <c r="F231" s="2204"/>
      <c r="G231" s="2205"/>
      <c r="H231" s="2203"/>
      <c r="I231" s="2205"/>
      <c r="J231" s="315"/>
      <c r="K231" s="315"/>
      <c r="L231" s="315"/>
      <c r="M231" s="1148"/>
      <c r="N231" s="1148"/>
      <c r="O231" s="317"/>
      <c r="P231" s="339"/>
      <c r="Q231" s="2226"/>
      <c r="R231" s="2227"/>
      <c r="S231" s="2234"/>
      <c r="T231" s="2235"/>
      <c r="U231" s="2235"/>
      <c r="V231" s="2235"/>
      <c r="W231" s="2236"/>
    </row>
    <row r="232" spans="2:26">
      <c r="B232" s="1132"/>
      <c r="C232" s="1132"/>
      <c r="D232" s="1132"/>
      <c r="E232" s="1132"/>
      <c r="F232" s="1132"/>
      <c r="G232" s="1132"/>
      <c r="H232" s="1132"/>
      <c r="I232" s="1132"/>
      <c r="J232" s="1132"/>
      <c r="K232" s="1132"/>
      <c r="L232" s="1132"/>
      <c r="M232" s="1132"/>
      <c r="N232" s="1132"/>
    </row>
  </sheetData>
  <sheetProtection password="C9A3" sheet="1" objects="1" scenarios="1" selectLockedCells="1"/>
  <mergeCells count="296">
    <mergeCell ref="N147:R147"/>
    <mergeCell ref="Q156:R162"/>
    <mergeCell ref="K147:M147"/>
    <mergeCell ref="H156:I162"/>
    <mergeCell ref="H43:I43"/>
    <mergeCell ref="I53:K53"/>
    <mergeCell ref="L53:M53"/>
    <mergeCell ref="L104:M104"/>
    <mergeCell ref="H144:J144"/>
    <mergeCell ref="K144:M144"/>
    <mergeCell ref="L57:M57"/>
    <mergeCell ref="L59:M59"/>
    <mergeCell ref="H60:J60"/>
    <mergeCell ref="I56:K56"/>
    <mergeCell ref="H58:K58"/>
    <mergeCell ref="L58:M58"/>
    <mergeCell ref="L56:M56"/>
    <mergeCell ref="H155:I155"/>
    <mergeCell ref="L64:M64"/>
    <mergeCell ref="L70:M70"/>
    <mergeCell ref="L67:M67"/>
    <mergeCell ref="I70:K70"/>
    <mergeCell ref="I67:K67"/>
    <mergeCell ref="I64:K64"/>
    <mergeCell ref="C116:F116"/>
    <mergeCell ref="K117:M117"/>
    <mergeCell ref="K118:M118"/>
    <mergeCell ref="H114:J114"/>
    <mergeCell ref="K114:M114"/>
    <mergeCell ref="O74:O87"/>
    <mergeCell ref="P91:W107"/>
    <mergeCell ref="O109:O119"/>
    <mergeCell ref="O129:O138"/>
    <mergeCell ref="P121:W122"/>
    <mergeCell ref="P123:W127"/>
    <mergeCell ref="P129:W131"/>
    <mergeCell ref="O121:O127"/>
    <mergeCell ref="P74:W77"/>
    <mergeCell ref="H107:J107"/>
    <mergeCell ref="L102:M102"/>
    <mergeCell ref="L100:M100"/>
    <mergeCell ref="H100:K100"/>
    <mergeCell ref="H78:K78"/>
    <mergeCell ref="K96:M96"/>
    <mergeCell ref="J94:K94"/>
    <mergeCell ref="B74:F87"/>
    <mergeCell ref="L76:M76"/>
    <mergeCell ref="L78:M78"/>
    <mergeCell ref="E155:G155"/>
    <mergeCell ref="N152:R152"/>
    <mergeCell ref="L90:M90"/>
    <mergeCell ref="G90:K90"/>
    <mergeCell ref="H123:J125"/>
    <mergeCell ref="K123:M123"/>
    <mergeCell ref="K125:M125"/>
    <mergeCell ref="K126:M126"/>
    <mergeCell ref="H106:K106"/>
    <mergeCell ref="H147:J147"/>
    <mergeCell ref="N144:R144"/>
    <mergeCell ref="N146:R146"/>
    <mergeCell ref="L136:M136"/>
    <mergeCell ref="K115:M115"/>
    <mergeCell ref="C115:F115"/>
    <mergeCell ref="H115:J117"/>
    <mergeCell ref="K111:M111"/>
    <mergeCell ref="C113:F114"/>
    <mergeCell ref="B111:F112"/>
    <mergeCell ref="G111:J111"/>
    <mergeCell ref="I96:J96"/>
    <mergeCell ref="L94:M94"/>
    <mergeCell ref="E144:G144"/>
    <mergeCell ref="L92:M92"/>
    <mergeCell ref="S152:V152"/>
    <mergeCell ref="L75:M75"/>
    <mergeCell ref="L86:M86"/>
    <mergeCell ref="H86:K86"/>
    <mergeCell ref="S151:V151"/>
    <mergeCell ref="S150:V150"/>
    <mergeCell ref="S149:V149"/>
    <mergeCell ref="S148:V148"/>
    <mergeCell ref="S147:V147"/>
    <mergeCell ref="S146:V146"/>
    <mergeCell ref="S145:V145"/>
    <mergeCell ref="S144:V144"/>
    <mergeCell ref="O89:O107"/>
    <mergeCell ref="P109:W110"/>
    <mergeCell ref="P111:W119"/>
    <mergeCell ref="N150:R150"/>
    <mergeCell ref="N149:R149"/>
    <mergeCell ref="N148:R148"/>
    <mergeCell ref="N145:R145"/>
    <mergeCell ref="H102:K102"/>
    <mergeCell ref="L106:M106"/>
    <mergeCell ref="L84:M84"/>
    <mergeCell ref="H84:K84"/>
    <mergeCell ref="L85:M85"/>
    <mergeCell ref="C149:D149"/>
    <mergeCell ref="C148:D148"/>
    <mergeCell ref="N151:R151"/>
    <mergeCell ref="H149:J149"/>
    <mergeCell ref="K149:M149"/>
    <mergeCell ref="H150:J150"/>
    <mergeCell ref="K150:M150"/>
    <mergeCell ref="H104:K104"/>
    <mergeCell ref="E150:G150"/>
    <mergeCell ref="E149:G149"/>
    <mergeCell ref="B89:F107"/>
    <mergeCell ref="L91:M91"/>
    <mergeCell ref="K98:M98"/>
    <mergeCell ref="G98:J98"/>
    <mergeCell ref="B121:F127"/>
    <mergeCell ref="H122:J122"/>
    <mergeCell ref="C147:D147"/>
    <mergeCell ref="C146:D146"/>
    <mergeCell ref="C144:D144"/>
    <mergeCell ref="K122:M122"/>
    <mergeCell ref="L137:M137"/>
    <mergeCell ref="K130:M130"/>
    <mergeCell ref="G130:J130"/>
    <mergeCell ref="H89:M89"/>
    <mergeCell ref="K198:N198"/>
    <mergeCell ref="S164:W171"/>
    <mergeCell ref="S209:W215"/>
    <mergeCell ref="S201:W207"/>
    <mergeCell ref="S186:W189"/>
    <mergeCell ref="S181:W184"/>
    <mergeCell ref="S173:W179"/>
    <mergeCell ref="Q173:R179"/>
    <mergeCell ref="Q209:R215"/>
    <mergeCell ref="Q201:R207"/>
    <mergeCell ref="Q186:R189"/>
    <mergeCell ref="Q181:R184"/>
    <mergeCell ref="Q164:R171"/>
    <mergeCell ref="Q191:R199"/>
    <mergeCell ref="S191:W199"/>
    <mergeCell ref="K174:N174"/>
    <mergeCell ref="K176:N176"/>
    <mergeCell ref="Q217:R224"/>
    <mergeCell ref="Q225:R231"/>
    <mergeCell ref="S217:W224"/>
    <mergeCell ref="S225:W231"/>
    <mergeCell ref="K210:N210"/>
    <mergeCell ref="K212:N212"/>
    <mergeCell ref="K202:N202"/>
    <mergeCell ref="K204:N204"/>
    <mergeCell ref="K206:N206"/>
    <mergeCell ref="K214:N214"/>
    <mergeCell ref="K218:N218"/>
    <mergeCell ref="K220:N220"/>
    <mergeCell ref="K222:N222"/>
    <mergeCell ref="K226:N226"/>
    <mergeCell ref="K228:N228"/>
    <mergeCell ref="K230:N230"/>
    <mergeCell ref="E217:G231"/>
    <mergeCell ref="H217:I231"/>
    <mergeCell ref="B217:D231"/>
    <mergeCell ref="B209:D215"/>
    <mergeCell ref="B201:D207"/>
    <mergeCell ref="B186:D189"/>
    <mergeCell ref="B181:D184"/>
    <mergeCell ref="K182:N182"/>
    <mergeCell ref="K187:N187"/>
    <mergeCell ref="E181:G184"/>
    <mergeCell ref="E186:G189"/>
    <mergeCell ref="E201:G207"/>
    <mergeCell ref="E209:G215"/>
    <mergeCell ref="H209:I215"/>
    <mergeCell ref="H201:I207"/>
    <mergeCell ref="H186:I189"/>
    <mergeCell ref="H181:I184"/>
    <mergeCell ref="B191:D199"/>
    <mergeCell ref="E191:G199"/>
    <mergeCell ref="H191:I199"/>
    <mergeCell ref="K193:M193"/>
    <mergeCell ref="K192:N192"/>
    <mergeCell ref="K194:N194"/>
    <mergeCell ref="K196:N196"/>
    <mergeCell ref="B173:D179"/>
    <mergeCell ref="B164:D171"/>
    <mergeCell ref="K165:N165"/>
    <mergeCell ref="K167:N167"/>
    <mergeCell ref="K169:N169"/>
    <mergeCell ref="H151:J151"/>
    <mergeCell ref="K151:M151"/>
    <mergeCell ref="E152:G152"/>
    <mergeCell ref="E151:G151"/>
    <mergeCell ref="C152:D152"/>
    <mergeCell ref="C151:D151"/>
    <mergeCell ref="E164:G171"/>
    <mergeCell ref="E173:G179"/>
    <mergeCell ref="H173:I179"/>
    <mergeCell ref="H164:I171"/>
    <mergeCell ref="K157:N157"/>
    <mergeCell ref="K159:N159"/>
    <mergeCell ref="H152:J152"/>
    <mergeCell ref="K152:M152"/>
    <mergeCell ref="J155:P155"/>
    <mergeCell ref="E156:G162"/>
    <mergeCell ref="B156:D162"/>
    <mergeCell ref="B155:D155"/>
    <mergeCell ref="B154:O154"/>
    <mergeCell ref="S155:W155"/>
    <mergeCell ref="Q155:R155"/>
    <mergeCell ref="S156:W162"/>
    <mergeCell ref="H148:J148"/>
    <mergeCell ref="K148:M148"/>
    <mergeCell ref="E148:G148"/>
    <mergeCell ref="E147:G147"/>
    <mergeCell ref="P132:W138"/>
    <mergeCell ref="B141:U141"/>
    <mergeCell ref="C142:T142"/>
    <mergeCell ref="H145:J145"/>
    <mergeCell ref="K145:M145"/>
    <mergeCell ref="H146:J146"/>
    <mergeCell ref="K146:M146"/>
    <mergeCell ref="E146:G146"/>
    <mergeCell ref="E145:G145"/>
    <mergeCell ref="B129:F138"/>
    <mergeCell ref="H133:K133"/>
    <mergeCell ref="L133:M133"/>
    <mergeCell ref="L134:M134"/>
    <mergeCell ref="H135:K135"/>
    <mergeCell ref="L135:M135"/>
    <mergeCell ref="C145:D145"/>
    <mergeCell ref="C150:D150"/>
    <mergeCell ref="P89:W90"/>
    <mergeCell ref="P54:W61"/>
    <mergeCell ref="P67:Q67"/>
    <mergeCell ref="I4:W4"/>
    <mergeCell ref="I15:L15"/>
    <mergeCell ref="H17:L17"/>
    <mergeCell ref="H22:L22"/>
    <mergeCell ref="Q9:R9"/>
    <mergeCell ref="I9:J9"/>
    <mergeCell ref="O9:P9"/>
    <mergeCell ref="K8:L10"/>
    <mergeCell ref="R64:V65"/>
    <mergeCell ref="R67:V68"/>
    <mergeCell ref="R70:V71"/>
    <mergeCell ref="L83:M83"/>
    <mergeCell ref="O63:O72"/>
    <mergeCell ref="J34:J35"/>
    <mergeCell ref="J37:J38"/>
    <mergeCell ref="L82:M82"/>
    <mergeCell ref="H46:L46"/>
    <mergeCell ref="P52:W53"/>
    <mergeCell ref="O33:O47"/>
    <mergeCell ref="K40:M40"/>
    <mergeCell ref="K37:M37"/>
    <mergeCell ref="H80:K80"/>
    <mergeCell ref="L80:M80"/>
    <mergeCell ref="L81:M81"/>
    <mergeCell ref="T2:W2"/>
    <mergeCell ref="L60:M60"/>
    <mergeCell ref="L79:M79"/>
    <mergeCell ref="H82:K82"/>
    <mergeCell ref="P78:W87"/>
    <mergeCell ref="J40:J41"/>
    <mergeCell ref="J43:J44"/>
    <mergeCell ref="H75:K75"/>
    <mergeCell ref="K43:M43"/>
    <mergeCell ref="B50:U50"/>
    <mergeCell ref="P70:Q70"/>
    <mergeCell ref="O52:O61"/>
    <mergeCell ref="P63:W63"/>
    <mergeCell ref="P64:Q64"/>
    <mergeCell ref="B63:F72"/>
    <mergeCell ref="K34:M34"/>
    <mergeCell ref="H34:I34"/>
    <mergeCell ref="H37:I37"/>
    <mergeCell ref="H40:I40"/>
    <mergeCell ref="G34:G35"/>
    <mergeCell ref="G43:G44"/>
    <mergeCell ref="O1:W1"/>
    <mergeCell ref="B51:F51"/>
    <mergeCell ref="G51:N51"/>
    <mergeCell ref="B52:F61"/>
    <mergeCell ref="B12:U12"/>
    <mergeCell ref="B13:F13"/>
    <mergeCell ref="B14:F18"/>
    <mergeCell ref="O20:O25"/>
    <mergeCell ref="O14:O18"/>
    <mergeCell ref="K28:L28"/>
    <mergeCell ref="G13:N13"/>
    <mergeCell ref="O27:O31"/>
    <mergeCell ref="B27:F31"/>
    <mergeCell ref="B20:F25"/>
    <mergeCell ref="H30:L30"/>
    <mergeCell ref="B33:F47"/>
    <mergeCell ref="P51:W51"/>
    <mergeCell ref="B9:C9"/>
    <mergeCell ref="F9:G9"/>
    <mergeCell ref="M9:N9"/>
    <mergeCell ref="V3:W3"/>
    <mergeCell ref="G40:G41"/>
    <mergeCell ref="G37:G38"/>
  </mergeCells>
  <conditionalFormatting sqref="O52:O55">
    <cfRule type="expression" dxfId="155" priority="91">
      <formula>$O$52="Please Explain"</formula>
    </cfRule>
  </conditionalFormatting>
  <conditionalFormatting sqref="O74:O87">
    <cfRule type="expression" dxfId="154" priority="87">
      <formula>$O$74="Please Explain"</formula>
    </cfRule>
  </conditionalFormatting>
  <conditionalFormatting sqref="O109">
    <cfRule type="expression" dxfId="153" priority="83">
      <formula>$O$109="Please Explain"</formula>
    </cfRule>
  </conditionalFormatting>
  <conditionalFormatting sqref="O14:O18">
    <cfRule type="expression" dxfId="152" priority="80">
      <formula>$O$14="Failed"</formula>
    </cfRule>
  </conditionalFormatting>
  <conditionalFormatting sqref="O27:O31">
    <cfRule type="expression" dxfId="151" priority="34">
      <formula>$O$27="N/A for Owner-occupied Projects"</formula>
    </cfRule>
    <cfRule type="expression" dxfId="150" priority="42">
      <formula>$O$27="N/A - No Commercial Space or Sources Indicated"</formula>
    </cfRule>
    <cfRule type="expression" dxfId="149" priority="81">
      <formula>$O$27="OK"</formula>
    </cfRule>
  </conditionalFormatting>
  <conditionalFormatting sqref="O89:O107">
    <cfRule type="expression" dxfId="148" priority="78">
      <formula>$O$89="Please Explain"</formula>
    </cfRule>
  </conditionalFormatting>
  <conditionalFormatting sqref="O121:O127">
    <cfRule type="expression" dxfId="147" priority="77">
      <formula>$O$121="Please Explain"</formula>
    </cfRule>
  </conditionalFormatting>
  <conditionalFormatting sqref="O129:O138">
    <cfRule type="expression" dxfId="146" priority="76">
      <formula>$O$129="Please Explain"</formula>
    </cfRule>
  </conditionalFormatting>
  <conditionalFormatting sqref="Q156:R162">
    <cfRule type="expression" dxfId="145" priority="75">
      <formula>$Q$156="Please Explain"</formula>
    </cfRule>
  </conditionalFormatting>
  <conditionalFormatting sqref="Q164:R171">
    <cfRule type="expression" dxfId="144" priority="74">
      <formula>$Q$164="Please Explain"</formula>
    </cfRule>
  </conditionalFormatting>
  <conditionalFormatting sqref="Q173:R179">
    <cfRule type="expression" dxfId="143" priority="73">
      <formula>$Q$173="Please Explain"</formula>
    </cfRule>
  </conditionalFormatting>
  <conditionalFormatting sqref="Q181:R184">
    <cfRule type="expression" dxfId="142" priority="72">
      <formula>$Q$181="Please Explain"</formula>
    </cfRule>
  </conditionalFormatting>
  <conditionalFormatting sqref="Q186">
    <cfRule type="expression" dxfId="141" priority="71">
      <formula>$Q$186="Please Explain"</formula>
    </cfRule>
  </conditionalFormatting>
  <conditionalFormatting sqref="Q201:R207">
    <cfRule type="expression" dxfId="140" priority="70">
      <formula>$Q$201="Please Explain"</formula>
    </cfRule>
  </conditionalFormatting>
  <conditionalFormatting sqref="Q209:R215">
    <cfRule type="expression" dxfId="139" priority="69">
      <formula>$Q$209="Please Explain"</formula>
    </cfRule>
  </conditionalFormatting>
  <conditionalFormatting sqref="Q217:R224">
    <cfRule type="expression" dxfId="138" priority="68">
      <formula>$Q$217="Please Explain"</formula>
    </cfRule>
  </conditionalFormatting>
  <conditionalFormatting sqref="Q225:R231">
    <cfRule type="expression" dxfId="137" priority="67">
      <formula>$Q$225="Please Explain"</formula>
    </cfRule>
  </conditionalFormatting>
  <conditionalFormatting sqref="K92">
    <cfRule type="expression" dxfId="136" priority="66">
      <formula>$K$92="Select a State:"</formula>
    </cfRule>
  </conditionalFormatting>
  <conditionalFormatting sqref="I96">
    <cfRule type="expression" dxfId="135" priority="64">
      <formula>$I$96="Select Housing Type:"</formula>
    </cfRule>
  </conditionalFormatting>
  <conditionalFormatting sqref="G111">
    <cfRule type="expression" dxfId="134" priority="63">
      <formula>$K$111="Select One…"</formula>
    </cfRule>
  </conditionalFormatting>
  <conditionalFormatting sqref="G130">
    <cfRule type="expression" dxfId="133" priority="294">
      <formula>$K$130="Select One…"</formula>
    </cfRule>
  </conditionalFormatting>
  <conditionalFormatting sqref="Q191:R199">
    <cfRule type="expression" dxfId="132" priority="56">
      <formula>$Q$191="Please Explain"</formula>
    </cfRule>
  </conditionalFormatting>
  <conditionalFormatting sqref="O20:O25">
    <cfRule type="expression" dxfId="131" priority="40">
      <formula>$O$20="Failed"</formula>
    </cfRule>
  </conditionalFormatting>
  <conditionalFormatting sqref="H22">
    <cfRule type="expression" dxfId="130" priority="39">
      <formula>$M$22=""</formula>
    </cfRule>
  </conditionalFormatting>
  <conditionalFormatting sqref="I4">
    <cfRule type="expression" dxfId="129" priority="1219">
      <formula>$I$4="Input the project name and AHP Project Number at the top of the 'Instructions' tab."</formula>
    </cfRule>
  </conditionalFormatting>
  <conditionalFormatting sqref="H34:M46">
    <cfRule type="expression" dxfId="128" priority="38">
      <formula>$Z$34="Owner-occupied"</formula>
    </cfRule>
  </conditionalFormatting>
  <conditionalFormatting sqref="H34:I34 K34:M34 H37:I38 K37:M38 H43:I45 H40:I40 K43:M45 K40:M40">
    <cfRule type="expression" dxfId="127" priority="37">
      <formula>$Z$34="Owner-occupied"</formula>
    </cfRule>
  </conditionalFormatting>
  <conditionalFormatting sqref="H28:M30">
    <cfRule type="expression" dxfId="126" priority="36">
      <formula>$Z$34="Owner-occupied"</formula>
    </cfRule>
  </conditionalFormatting>
  <conditionalFormatting sqref="G27:N31">
    <cfRule type="expression" dxfId="125" priority="35">
      <formula>$Z$34="Owner-occupied"</formula>
    </cfRule>
  </conditionalFormatting>
  <conditionalFormatting sqref="H75:M86">
    <cfRule type="expression" dxfId="124" priority="33">
      <formula>$Z$34="Owner-occupied"</formula>
    </cfRule>
  </conditionalFormatting>
  <conditionalFormatting sqref="G74:N87 P74:W87">
    <cfRule type="expression" dxfId="123" priority="32">
      <formula>$Z$34="Owner-occupied"</formula>
    </cfRule>
  </conditionalFormatting>
  <conditionalFormatting sqref="H36:M41">
    <cfRule type="expression" dxfId="122" priority="30">
      <formula>$Z$34="Owner-occupied"</formula>
    </cfRule>
  </conditionalFormatting>
  <conditionalFormatting sqref="C145:D145">
    <cfRule type="expression" dxfId="121" priority="29">
      <formula>$C$145="Input Lender Name"</formula>
    </cfRule>
  </conditionalFormatting>
  <conditionalFormatting sqref="C149:D149">
    <cfRule type="expression" dxfId="120" priority="28">
      <formula>$C$149="Input Points"</formula>
    </cfRule>
  </conditionalFormatting>
  <conditionalFormatting sqref="C150:D150">
    <cfRule type="expression" dxfId="119" priority="27">
      <formula>$C$150="Input Fees"</formula>
    </cfRule>
  </conditionalFormatting>
  <conditionalFormatting sqref="C151:D151">
    <cfRule type="expression" dxfId="118" priority="26">
      <formula>$C$151="Input Other Charges"</formula>
    </cfRule>
  </conditionalFormatting>
  <conditionalFormatting sqref="I71:L71">
    <cfRule type="expression" dxfId="117" priority="20">
      <formula>M71="Select One…"</formula>
    </cfRule>
  </conditionalFormatting>
  <conditionalFormatting sqref="P63:W63">
    <cfRule type="expression" dxfId="116" priority="19">
      <formula>IF(SUM($AB$64:$AB$70)&gt;0,1,0)</formula>
    </cfRule>
  </conditionalFormatting>
  <conditionalFormatting sqref="G98">
    <cfRule type="expression" dxfId="115" priority="1497">
      <formula>$G$98="Select RSMeans Zone:"</formula>
    </cfRule>
  </conditionalFormatting>
  <conditionalFormatting sqref="G90">
    <cfRule type="expression" dxfId="114" priority="13">
      <formula>$G$90="Is Project Located in Multiple Zip Codes?:"</formula>
    </cfRule>
  </conditionalFormatting>
  <conditionalFormatting sqref="J94">
    <cfRule type="expression" dxfId="113" priority="1505">
      <formula>$J$94="Input Project Zip:"</formula>
    </cfRule>
  </conditionalFormatting>
  <conditionalFormatting sqref="L94:M94 J94">
    <cfRule type="expression" dxfId="112" priority="1506">
      <formula>$L$90&lt;&gt;"No"</formula>
    </cfRule>
  </conditionalFormatting>
  <conditionalFormatting sqref="I64 I70 I67">
    <cfRule type="expression" dxfId="111" priority="1508">
      <formula>L64="Select One…"</formula>
    </cfRule>
  </conditionalFormatting>
  <conditionalFormatting sqref="R64:V65">
    <cfRule type="expression" dxfId="110" priority="1509">
      <formula>IF($L$64&gt;0,1,0)</formula>
    </cfRule>
  </conditionalFormatting>
  <conditionalFormatting sqref="R70:V71">
    <cfRule type="expression" dxfId="109" priority="1512">
      <formula>IF($L$70&gt;0,1,0)</formula>
    </cfRule>
  </conditionalFormatting>
  <conditionalFormatting sqref="R67:V68">
    <cfRule type="expression" dxfId="108" priority="1515">
      <formula>IF($L$67&gt;0,1,0)</formula>
    </cfRule>
  </conditionalFormatting>
  <conditionalFormatting sqref="L64:M64">
    <cfRule type="expression" dxfId="107" priority="10">
      <formula>$Z$34="Owner-occupied"</formula>
    </cfRule>
  </conditionalFormatting>
  <conditionalFormatting sqref="L64:M64">
    <cfRule type="expression" dxfId="106" priority="9">
      <formula>$Z$34="Owner-occupied"</formula>
    </cfRule>
  </conditionalFormatting>
  <conditionalFormatting sqref="L67:M67">
    <cfRule type="expression" dxfId="105" priority="8">
      <formula>$Z$34="Owner-occupied"</formula>
    </cfRule>
  </conditionalFormatting>
  <conditionalFormatting sqref="L67:M67">
    <cfRule type="expression" dxfId="104" priority="7">
      <formula>$Z$34="Owner-occupied"</formula>
    </cfRule>
  </conditionalFormatting>
  <conditionalFormatting sqref="L70:M70">
    <cfRule type="expression" dxfId="103" priority="6">
      <formula>$Z$34="Owner-occupied"</formula>
    </cfRule>
  </conditionalFormatting>
  <conditionalFormatting sqref="L70:M70">
    <cfRule type="expression" dxfId="102" priority="5">
      <formula>$Z$34="Owner-occupied"</formula>
    </cfRule>
  </conditionalFormatting>
  <conditionalFormatting sqref="H46">
    <cfRule type="expression" dxfId="101" priority="4">
      <formula>$M$46=""</formula>
    </cfRule>
  </conditionalFormatting>
  <conditionalFormatting sqref="O33:O47">
    <cfRule type="expression" dxfId="100" priority="3">
      <formula>$O$33="Failed"</formula>
    </cfRule>
  </conditionalFormatting>
  <conditionalFormatting sqref="AB6:AE6">
    <cfRule type="expression" dxfId="99" priority="2">
      <formula>IF(OR($D$13="Not Listed",$D$13="NAHASDA"),1,0)</formula>
    </cfRule>
  </conditionalFormatting>
  <conditionalFormatting sqref="G33:N33 N34:N47 G47:M47 G34:G46">
    <cfRule type="expression" dxfId="98" priority="1">
      <formula>$Z$34="Owner-occupied"</formula>
    </cfRule>
  </conditionalFormatting>
  <dataValidations count="10">
    <dataValidation type="list" allowBlank="1" showInputMessage="1" showErrorMessage="1" error="Select a source from the dropdown." sqref="N34:N46">
      <formula1>$AD$32:$AD$48</formula1>
    </dataValidation>
    <dataValidation type="list" allowBlank="1" showInputMessage="1" showErrorMessage="1" sqref="K130">
      <formula1>$AD$133:$AD$136</formula1>
    </dataValidation>
    <dataValidation type="custom" allowBlank="1" showInputMessage="1" showErrorMessage="1" sqref="V3:W3 B9 D9:F9 H9:J9 F10:J10 C8:K8 M8:N8 M9 O9 S8:T8 Q9:R9 M10:V10">
      <formula1>"&lt;0&gt;0"</formula1>
    </dataValidation>
    <dataValidation type="list" allowBlank="1" showInputMessage="1" showErrorMessage="1" error="Select 'Yes' or 'No' from the dropdown." sqref="M71">
      <formula1>$AD$63:$AD$65</formula1>
    </dataValidation>
    <dataValidation type="list" showInputMessage="1" showErrorMessage="1" prompt="Select &quot;Yes&quot; or &quot;No&quot; from the dropdown." sqref="L90:M90">
      <formula1>$Z$98:$Z$100</formula1>
    </dataValidation>
    <dataValidation type="list" allowBlank="1" showInputMessage="1" showErrorMessage="1" prompt="Select the state in which the project is located._x000a__x000a_Please contact the Seattle Bank for instructions for scattered site projects located in Alaska or Hawaii." sqref="L92:M92">
      <formula1>IF($Z$102=1,$AH$92:$AH$101,"")</formula1>
    </dataValidation>
    <dataValidation type="list" allowBlank="1" showInputMessage="1" showErrorMessage="1" error="Select a project type from the dropdown." prompt="Select the project type from the dropdown." sqref="K96:M96">
      <formula1>$AD$90:$AD$94</formula1>
    </dataValidation>
    <dataValidation type="list" allowBlank="1" showInputMessage="1" showErrorMessage="1" error="Select &quot;Yes&quot; or &quot;No&quot; from the dropdown." prompt="Select &quot;Yes&quot; or &quot;No&quot; from the dropdown." sqref="M22">
      <formula1>$AA$16:$AA$18</formula1>
    </dataValidation>
    <dataValidation type="custom" allowBlank="1" showInputMessage="1" showErrorMessage="1" sqref="AA4">
      <formula1>MOD(100*P222:R1048576,1)=0</formula1>
    </dataValidation>
    <dataValidation type="list" allowBlank="1" showInputMessage="1" showErrorMessage="1" sqref="M46">
      <formula1>IF(Z34="Rental",AA16:AA18,IF(Z34&lt;&gt;"Rental",Z40,Z40))</formula1>
    </dataValidation>
  </dataValidations>
  <hyperlinks>
    <hyperlink ref="E9" location="'A(2)-Uses Statement'!H12" display="'A(2)-Uses Statement'!H12"/>
    <hyperlink ref="D9" location="'A(1)-Sources Stmt.'!D19" display="'A(1)-Sources Stmt.'!D19"/>
    <hyperlink ref="Q9:R9" location="'Validation Warnings'!M9" display="'Validation Warnings'!M9"/>
    <hyperlink ref="I9:J9" location="'C(2)-Commercial ProForma'!K16" display="'C(2)-Commercial ProForma'!K16"/>
    <hyperlink ref="H9" location="'C(1)-Rental Operating ProForma'!L16" display="'C(1)-Rental Operating ProForma'!L16"/>
    <hyperlink ref="B9" display="Project Info. &amp; Instructions"/>
    <hyperlink ref="O9:P9" location="'F-TIV'!Q17" display="'F-TIV'!Q17"/>
    <hyperlink ref="M9" location="'E(2)-Sources &amp; Uses Analysis'!G19" display="Sources &amp; Uses Analysis"/>
    <hyperlink ref="F9:G9" location="'B-Rent Schedule'!D13" display="'B-Rent Schedule'!D13"/>
    <hyperlink ref="B9:C9" location="'Project Info and Instructions'!F16" display="Project Info. &amp; Instructions"/>
  </hyperlinks>
  <pageMargins left="0.25" right="0.25" top="0.5" bottom="0.25" header="0.3" footer="0.3"/>
  <pageSetup scale="55" fitToHeight="2" orientation="portrait" r:id="rId1"/>
  <rowBreaks count="1" manualBreakCount="1">
    <brk id="138" max="22" man="1"/>
  </rowBreaks>
  <drawing r:id="rId2"/>
  <extLst>
    <ext xmlns:x14="http://schemas.microsoft.com/office/spreadsheetml/2009/9/main" uri="{78C0D931-6437-407d-A8EE-F0AAD7539E65}">
      <x14:conditionalFormattings>
        <x14:conditionalFormatting xmlns:xm="http://schemas.microsoft.com/office/excel/2006/main">
          <x14:cfRule type="expression" priority="1344" id="{35350441-3402-48CE-9CCB-6D31A068195C}">
            <xm:f>'Project Info and Instructions'!$F$20="Owner-occupied"</xm:f>
            <x14:dxf>
              <font>
                <color theme="0"/>
              </font>
              <fill>
                <patternFill>
                  <bgColor theme="0"/>
                </patternFill>
              </fill>
              <border>
                <left/>
                <right/>
                <top/>
                <bottom/>
                <vertical/>
                <horizontal/>
              </border>
            </x14:dxf>
          </x14:cfRule>
          <xm:sqref>B179:W246 B178:J178 P178:W178 B154:W177</xm:sqref>
        </x14:conditionalFormatting>
        <x14:conditionalFormatting xmlns:xm="http://schemas.microsoft.com/office/excel/2006/main">
          <x14:cfRule type="expression" priority="1345" id="{E4ED69B6-F4D1-4C1D-966D-175FDC6B36C8}">
            <xm:f>'Project Info and Instructions'!$F$20="Owner-occupied"</xm:f>
            <x14:dxf>
              <font>
                <strike/>
                <color theme="0" tint="-0.34998626667073579"/>
              </font>
              <fill>
                <gradientFill degree="90">
                  <stop position="0">
                    <color theme="0" tint="-0.1490218817712943"/>
                  </stop>
                  <stop position="1">
                    <color theme="0" tint="-0.1490218817712943"/>
                  </stop>
                </gradientFill>
              </fill>
            </x14:dxf>
          </x14:cfRule>
          <xm:sqref>H9</xm:sqref>
        </x14:conditionalFormatting>
        <x14:conditionalFormatting xmlns:xm="http://schemas.microsoft.com/office/excel/2006/main">
          <x14:cfRule type="expression" priority="1349" id="{1D73A15C-867A-44AE-BC86-79EAD33D4F3C}">
            <xm:f>'Project Info and Instructions'!$F$22="No"</xm:f>
            <x14:dxf>
              <font>
                <strike/>
                <color theme="0" tint="-0.34998626667073579"/>
              </font>
              <fill>
                <patternFill>
                  <bgColor theme="0" tint="-0.14996795556505021"/>
                </patternFill>
              </fill>
            </x14:dxf>
          </x14:cfRule>
          <x14:cfRule type="expression" priority="1350" id="{1463BF40-CE29-40AE-A88A-7B7C25241188}">
            <xm:f>'Project Info and Instructions'!$F$20="Owner-occupied"</xm:f>
            <x14:dxf>
              <font>
                <strike/>
                <color theme="0" tint="-0.34998626667073579"/>
              </font>
              <fill>
                <patternFill>
                  <bgColor theme="0" tint="-0.14996795556505021"/>
                </patternFill>
              </fill>
            </x14:dxf>
          </x14:cfRule>
          <xm:sqref>I9</xm:sqref>
        </x14:conditionalFormatting>
        <x14:conditionalFormatting xmlns:xm="http://schemas.microsoft.com/office/excel/2006/main">
          <x14:cfRule type="expression" priority="1617" id="{ADB34E20-44B4-49AB-8CCD-11E2A0700653}">
            <xm:f>'Project Info and Instructions'!$V$50&gt;6</xm:f>
            <x14:dxf>
              <font>
                <strike/>
                <color theme="0" tint="-0.34998626667073579"/>
              </font>
              <fill>
                <gradientFill degree="90">
                  <stop position="0">
                    <color theme="0" tint="-0.1490218817712943"/>
                  </stop>
                  <stop position="1">
                    <color theme="0" tint="-0.1490218817712943"/>
                  </stop>
                </gradientFill>
              </fill>
            </x14:dxf>
          </x14:cfRule>
          <xm:sqref>F9</xm:sqref>
        </x14:conditionalFormatting>
      </x14:conditionalFormattings>
    </ext>
    <ext xmlns:x14="http://schemas.microsoft.com/office/spreadsheetml/2009/9/main" uri="{CCE6A557-97BC-4b89-ADB6-D9C93CAAB3DF}">
      <x14:dataValidations xmlns:xm="http://schemas.microsoft.com/office/excel/2006/main" count="1">
        <x14:dataValidation type="custom" showInputMessage="1" showErrorMessage="1" error="The zip code is not valid for the state selected.">
          <x14:formula1>
            <xm:f>IF(COUNTIFS(RSMeans!B:B,LEFT(L94,3),RSMeans!C:C,L92)&gt;0,1,0)</xm:f>
          </x14:formula1>
          <xm:sqref>L94:M94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BQ159"/>
  <sheetViews>
    <sheetView showGridLines="0" zoomScale="90" zoomScaleNormal="90" workbookViewId="0">
      <selection activeCell="C32" sqref="C32:F32"/>
    </sheetView>
  </sheetViews>
  <sheetFormatPr defaultRowHeight="13.5" customHeight="1"/>
  <cols>
    <col min="1" max="1" width="4" style="1313" customWidth="1"/>
    <col min="2" max="2" width="3" style="1313" customWidth="1"/>
    <col min="3" max="3" width="7" style="1313" customWidth="1"/>
    <col min="4" max="4" width="16" style="1313" customWidth="1"/>
    <col min="5" max="5" width="16.7109375" style="1313" customWidth="1"/>
    <col min="6" max="6" width="0.7109375" style="1313" customWidth="1"/>
    <col min="7" max="12" width="12.7109375" style="1313" customWidth="1"/>
    <col min="13" max="14" width="12.7109375" style="1314" customWidth="1"/>
    <col min="15" max="15" width="14.5703125" style="1313" customWidth="1"/>
    <col min="16" max="18" width="9.140625" style="1313" hidden="1" customWidth="1"/>
    <col min="19" max="19" width="12" style="1313" hidden="1" customWidth="1"/>
    <col min="20" max="21" width="9.140625" style="1313" hidden="1" customWidth="1"/>
    <col min="22" max="32" width="9.140625" style="1313" customWidth="1"/>
    <col min="33" max="16384" width="9.140625" style="1313"/>
  </cols>
  <sheetData>
    <row r="1" spans="1:69" s="285" customFormat="1" ht="15" customHeight="1">
      <c r="B1" s="871"/>
      <c r="L1" s="1765" t="s">
        <v>1170</v>
      </c>
      <c r="M1" s="1765"/>
      <c r="N1" s="1765"/>
      <c r="V1" s="1361"/>
      <c r="W1" s="1361"/>
      <c r="X1" s="1361"/>
      <c r="Y1" s="1361"/>
      <c r="Z1" s="1361"/>
      <c r="AA1" s="1361"/>
      <c r="AB1" s="1361"/>
      <c r="AC1" s="1361"/>
      <c r="AD1" s="954"/>
    </row>
    <row r="2" spans="1:69" s="285" customFormat="1" ht="13.5" customHeight="1">
      <c r="M2" s="1833" t="str">
        <f>'Project Info and Instructions'!O2</f>
        <v>Updated January 2018</v>
      </c>
      <c r="N2" s="1833"/>
      <c r="AA2" s="909"/>
      <c r="AB2" s="909"/>
      <c r="AC2" s="909"/>
      <c r="AD2" s="286"/>
      <c r="AE2" s="286"/>
      <c r="AF2" s="286"/>
      <c r="AG2" s="286"/>
      <c r="AH2" s="286"/>
      <c r="AI2" s="286"/>
      <c r="AJ2" s="286"/>
      <c r="AK2" s="286"/>
      <c r="AL2" s="286"/>
    </row>
    <row r="3" spans="1:69" s="15" customFormat="1" ht="6.75" customHeight="1">
      <c r="AB3" s="2098"/>
      <c r="AC3" s="2098"/>
      <c r="AH3" s="124"/>
      <c r="AI3" s="124"/>
      <c r="AJ3" s="124"/>
      <c r="AK3" s="124"/>
      <c r="AL3" s="124"/>
      <c r="AM3" s="124"/>
      <c r="AN3" s="124"/>
      <c r="AO3" s="124"/>
      <c r="AP3" s="124"/>
      <c r="AQ3" s="124"/>
      <c r="BN3" s="49"/>
      <c r="BO3" s="49"/>
      <c r="BP3" s="49"/>
      <c r="BQ3" s="49"/>
    </row>
    <row r="4" spans="1:69" s="15" customFormat="1" ht="15" customHeight="1">
      <c r="G4" s="2139" t="str">
        <f>IF('Project Info and Instructions'!W35&gt;0,"Input the project name and AHP Project Number at the top of the 'Instructions' tab.",'Project Info and Instructions'!F18&amp;" - "&amp;'Project Info and Instructions'!F16)</f>
        <v>Input the project name and AHP Project Number at the top of the 'Instructions' tab.</v>
      </c>
      <c r="H4" s="2139"/>
      <c r="I4" s="2139"/>
      <c r="J4" s="2139"/>
      <c r="K4" s="2139"/>
      <c r="L4" s="2139"/>
      <c r="M4" s="2139"/>
      <c r="N4" s="2139"/>
      <c r="P4" s="1178"/>
      <c r="Q4" s="1178"/>
      <c r="R4" s="1178"/>
      <c r="S4" s="1178"/>
      <c r="T4" s="1178"/>
      <c r="U4" s="1178"/>
      <c r="V4" s="1178"/>
      <c r="W4" s="1178"/>
      <c r="X4" s="1178"/>
      <c r="Y4" s="1178"/>
      <c r="Z4" s="1178"/>
      <c r="AA4" s="1178"/>
      <c r="AB4" s="1178"/>
      <c r="AC4" s="1178"/>
      <c r="AE4" s="357"/>
      <c r="AF4" s="357"/>
      <c r="AG4" s="171"/>
      <c r="AH4" s="283"/>
      <c r="AI4" s="124"/>
      <c r="AJ4" s="124"/>
      <c r="AK4" s="124"/>
      <c r="AL4" s="124"/>
      <c r="AM4" s="124"/>
      <c r="AN4" s="124"/>
      <c r="AO4" s="124"/>
      <c r="AP4" s="124"/>
      <c r="AQ4" s="124"/>
      <c r="BN4" s="49"/>
      <c r="BO4" s="49"/>
      <c r="BP4" s="208"/>
      <c r="BQ4" s="49"/>
    </row>
    <row r="5" spans="1:69" ht="7.5" customHeight="1">
      <c r="C5" s="1315"/>
      <c r="D5" s="1315"/>
      <c r="E5" s="1315"/>
      <c r="F5" s="1315"/>
      <c r="G5" s="1316"/>
      <c r="H5" s="1316"/>
      <c r="I5" s="1317"/>
      <c r="J5" s="1317"/>
      <c r="K5" s="1317"/>
      <c r="L5" s="1317"/>
      <c r="M5" s="1318"/>
      <c r="N5" s="1318"/>
      <c r="O5" s="1319"/>
      <c r="P5" s="1319"/>
    </row>
    <row r="6" spans="1:69" ht="30.75" customHeight="1">
      <c r="C6" s="1315"/>
      <c r="D6" s="1315"/>
      <c r="E6" s="1315"/>
      <c r="F6" s="1315"/>
      <c r="G6" s="1316"/>
      <c r="H6" s="1316"/>
      <c r="I6" s="1317"/>
      <c r="J6" s="1317"/>
      <c r="K6" s="1316"/>
      <c r="L6" s="1316"/>
      <c r="M6" s="1318"/>
      <c r="N6" s="1318"/>
      <c r="O6" s="1320"/>
      <c r="P6" s="1320"/>
    </row>
    <row r="7" spans="1:69" ht="7.5" customHeight="1">
      <c r="F7" s="1321"/>
      <c r="I7" s="1322"/>
      <c r="J7" s="1322"/>
      <c r="M7" s="1323"/>
      <c r="N7" s="1323"/>
      <c r="O7" s="1368"/>
      <c r="P7" s="1368"/>
      <c r="Q7" s="1367"/>
      <c r="R7" s="1367"/>
    </row>
    <row r="8" spans="1:69" ht="3.75" customHeight="1">
      <c r="A8" s="359"/>
      <c r="B8" s="284"/>
      <c r="C8" s="284"/>
      <c r="D8" s="284"/>
      <c r="E8" s="284"/>
      <c r="F8" s="284"/>
      <c r="G8" s="7"/>
      <c r="H8" s="7"/>
      <c r="I8" s="7"/>
      <c r="J8" s="7"/>
      <c r="K8" s="1943" t="s">
        <v>1171</v>
      </c>
      <c r="L8" s="7"/>
      <c r="M8" s="7"/>
      <c r="N8" s="7"/>
      <c r="O8" s="1369"/>
      <c r="P8" s="1369"/>
      <c r="Q8" s="1367"/>
      <c r="R8" s="1367"/>
    </row>
    <row r="9" spans="1:69" ht="36.75" customHeight="1">
      <c r="A9" s="1824" t="s">
        <v>937</v>
      </c>
      <c r="B9" s="1824"/>
      <c r="C9" s="1774"/>
      <c r="D9" s="1299" t="s">
        <v>838</v>
      </c>
      <c r="E9" s="1824" t="s">
        <v>832</v>
      </c>
      <c r="F9" s="1774"/>
      <c r="G9" s="1299" t="s">
        <v>833</v>
      </c>
      <c r="H9" s="1301" t="s">
        <v>852</v>
      </c>
      <c r="I9" s="1299" t="s">
        <v>834</v>
      </c>
      <c r="J9" s="1301" t="s">
        <v>836</v>
      </c>
      <c r="K9" s="1944"/>
      <c r="L9" s="1300" t="s">
        <v>853</v>
      </c>
      <c r="M9" s="1301" t="s">
        <v>855</v>
      </c>
      <c r="N9" s="697"/>
      <c r="O9" s="1369"/>
      <c r="P9" s="1369"/>
      <c r="Q9" s="1367"/>
      <c r="R9" s="1367"/>
    </row>
    <row r="10" spans="1:69" ht="3" customHeight="1">
      <c r="A10" s="360"/>
      <c r="B10" s="149"/>
      <c r="C10" s="149"/>
      <c r="D10" s="149"/>
      <c r="E10" s="149"/>
      <c r="F10" s="149"/>
      <c r="G10" s="149"/>
      <c r="H10" s="698"/>
      <c r="I10" s="699"/>
      <c r="J10" s="1371"/>
      <c r="K10" s="657"/>
      <c r="L10" s="1370"/>
      <c r="M10" s="135"/>
      <c r="N10" s="135"/>
      <c r="O10" s="2316"/>
      <c r="P10" s="2316"/>
      <c r="Q10" s="152"/>
      <c r="R10" s="1367"/>
    </row>
    <row r="11" spans="1:69" ht="13.5" customHeight="1">
      <c r="C11" s="1324"/>
      <c r="D11" s="1324"/>
      <c r="E11" s="1324"/>
      <c r="F11" s="1324"/>
      <c r="J11" s="1364"/>
      <c r="L11" s="1325"/>
      <c r="M11" s="1324"/>
      <c r="N11" s="1324"/>
      <c r="O11" s="1324"/>
      <c r="P11" s="1324"/>
      <c r="Q11" s="1367"/>
      <c r="R11" s="1367"/>
    </row>
    <row r="12" spans="1:69" ht="14.25" customHeight="1">
      <c r="C12" s="1327"/>
      <c r="D12" s="1327"/>
      <c r="E12" s="1327"/>
      <c r="F12" s="1327"/>
      <c r="G12" s="1382"/>
      <c r="H12" s="1382"/>
      <c r="I12" s="1364"/>
      <c r="K12" s="2363" t="str">
        <f>IF(M12="","Input As of Date:","As of Date:")</f>
        <v>Input As of Date:</v>
      </c>
      <c r="L12" s="2364"/>
      <c r="M12" s="2361"/>
      <c r="N12" s="2362"/>
      <c r="O12" s="1326"/>
      <c r="P12" s="1326"/>
    </row>
    <row r="13" spans="1:69" ht="6" customHeight="1">
      <c r="C13" s="1327"/>
      <c r="D13" s="1327"/>
      <c r="E13" s="1327"/>
      <c r="F13" s="1327"/>
      <c r="G13" s="1327"/>
      <c r="H13" s="1327"/>
      <c r="I13" s="1327"/>
      <c r="J13" s="1327"/>
      <c r="K13" s="1327"/>
      <c r="L13" s="1327"/>
      <c r="M13" s="1328"/>
      <c r="N13" s="1328"/>
      <c r="O13" s="1326"/>
      <c r="P13" s="1326"/>
    </row>
    <row r="14" spans="1:69" ht="6" customHeight="1">
      <c r="F14" s="1324"/>
      <c r="G14" s="1324"/>
      <c r="H14" s="1324"/>
      <c r="K14" s="1324"/>
      <c r="L14" s="1324"/>
      <c r="M14" s="1324"/>
      <c r="N14" s="1324"/>
      <c r="O14" s="1326"/>
      <c r="P14" s="1326"/>
    </row>
    <row r="15" spans="1:69" ht="14.25" customHeight="1">
      <c r="F15" s="1324"/>
      <c r="G15" s="1324"/>
      <c r="H15" s="2323" t="s">
        <v>1274</v>
      </c>
      <c r="I15" s="2323"/>
      <c r="J15" s="2323"/>
      <c r="K15" s="2323"/>
      <c r="L15" s="2324"/>
      <c r="M15" s="2325">
        <f>ROUND(G146*0.05,0)</f>
        <v>0</v>
      </c>
      <c r="N15" s="2326"/>
      <c r="O15" s="1326"/>
      <c r="P15" s="1326"/>
    </row>
    <row r="16" spans="1:69" ht="19.5" customHeight="1">
      <c r="B16" s="2377" t="s">
        <v>1163</v>
      </c>
      <c r="C16" s="2377"/>
      <c r="D16" s="2377"/>
      <c r="E16" s="2377"/>
      <c r="F16" s="2377"/>
      <c r="G16" s="2377"/>
      <c r="H16" s="2323"/>
      <c r="I16" s="2323"/>
      <c r="J16" s="2323"/>
      <c r="K16" s="2323"/>
      <c r="L16" s="2323"/>
      <c r="M16" s="2376"/>
      <c r="N16" s="2376"/>
    </row>
    <row r="17" spans="2:20" ht="5.25" customHeight="1">
      <c r="B17" s="1367"/>
      <c r="C17" s="1367"/>
      <c r="D17" s="1367"/>
      <c r="E17" s="1367"/>
      <c r="I17" s="1329"/>
      <c r="J17" s="1329"/>
    </row>
    <row r="18" spans="2:20" ht="18.75" customHeight="1">
      <c r="C18" s="1362" t="s">
        <v>1164</v>
      </c>
      <c r="D18" s="1362"/>
      <c r="E18" s="1362"/>
      <c r="F18" s="1362"/>
      <c r="G18" s="2317" t="s">
        <v>1165</v>
      </c>
      <c r="H18" s="2318"/>
      <c r="I18" s="2319" t="s">
        <v>1166</v>
      </c>
      <c r="J18" s="2318"/>
      <c r="K18" s="2319" t="s">
        <v>1167</v>
      </c>
      <c r="L18" s="2318"/>
      <c r="M18" s="2320" t="s">
        <v>1168</v>
      </c>
      <c r="N18" s="2321"/>
    </row>
    <row r="19" spans="2:20" ht="13.5" customHeight="1">
      <c r="C19" s="2327" t="s">
        <v>30</v>
      </c>
      <c r="D19" s="2327"/>
      <c r="E19" s="2327"/>
      <c r="F19" s="2327"/>
    </row>
    <row r="20" spans="2:20" s="1330" customFormat="1" ht="13.5" customHeight="1">
      <c r="B20" s="1568">
        <v>1</v>
      </c>
      <c r="C20" s="2301" t="str">
        <f>IF('A(1)-Sources Stmt.'!D19&lt;&gt;"",'A(1)-Sources Stmt.'!D19,"")</f>
        <v/>
      </c>
      <c r="D20" s="2302"/>
      <c r="E20" s="2302"/>
      <c r="F20" s="2302"/>
      <c r="G20" s="2305">
        <v>0</v>
      </c>
      <c r="H20" s="2306"/>
      <c r="I20" s="2314">
        <f>IF('A(1)-Sources Stmt.'!F19&gt;0,ROUND('A(1)-Sources Stmt.'!F19,0),0)</f>
        <v>0</v>
      </c>
      <c r="J20" s="2314"/>
      <c r="K20" s="2322">
        <f>IF(G20&lt;&gt;"",I20-G20,0)</f>
        <v>0</v>
      </c>
      <c r="L20" s="2314"/>
      <c r="M20" s="2311">
        <f>IF(AND(G20&lt;&gt;"",G20&gt;0),K20/G20,IF(AND(G20&lt;1,I20&gt;0),1,0))</f>
        <v>0</v>
      </c>
      <c r="N20" s="2312"/>
      <c r="S20" s="1622">
        <f>IF(K20&lt;0,K20*-1,K20)</f>
        <v>0</v>
      </c>
      <c r="T20" s="1330">
        <f>IF(AND(S20&gt;=$M$15,S20&gt;0),1,0)</f>
        <v>0</v>
      </c>
    </row>
    <row r="21" spans="2:20" s="1330" customFormat="1" ht="13.5" customHeight="1">
      <c r="B21" s="1569">
        <v>2</v>
      </c>
      <c r="C21" s="2301" t="str">
        <f>IF('A(1)-Sources Stmt.'!D20&lt;&gt;"",'A(1)-Sources Stmt.'!D20,"")</f>
        <v/>
      </c>
      <c r="D21" s="2302"/>
      <c r="E21" s="2302"/>
      <c r="F21" s="2302"/>
      <c r="G21" s="2305">
        <v>0</v>
      </c>
      <c r="H21" s="2306"/>
      <c r="I21" s="2314">
        <f>IF('A(1)-Sources Stmt.'!F20&gt;0,ROUND('A(1)-Sources Stmt.'!F20,0),0)</f>
        <v>0</v>
      </c>
      <c r="J21" s="2315"/>
      <c r="K21" s="2322">
        <f t="shared" ref="K21:K32" si="0">IF(G21&lt;&gt;"",I21-G21,0)</f>
        <v>0</v>
      </c>
      <c r="L21" s="2314"/>
      <c r="M21" s="2311">
        <f t="shared" ref="M21:M32" si="1">IF(AND(G21&lt;&gt;"",G21&gt;0),K21/G21,IF(AND(G21&lt;1,I21&gt;0),1,0))</f>
        <v>0</v>
      </c>
      <c r="N21" s="2312"/>
      <c r="S21" s="1622">
        <f t="shared" ref="S21:S31" si="2">IF(K21&lt;0,K21*-1,K21)</f>
        <v>0</v>
      </c>
      <c r="T21" s="1330">
        <f t="shared" ref="T21:T37" si="3">IF(AND(S21&gt;=$M$15,S21&gt;0),1,0)</f>
        <v>0</v>
      </c>
    </row>
    <row r="22" spans="2:20" s="1330" customFormat="1" ht="13.5" customHeight="1">
      <c r="B22" s="1569">
        <v>3</v>
      </c>
      <c r="C22" s="2301" t="str">
        <f>IF('A(1)-Sources Stmt.'!D21&lt;&gt;"",'A(1)-Sources Stmt.'!D21,"")</f>
        <v/>
      </c>
      <c r="D22" s="2302"/>
      <c r="E22" s="2302"/>
      <c r="F22" s="2302"/>
      <c r="G22" s="2305">
        <v>0</v>
      </c>
      <c r="H22" s="2306"/>
      <c r="I22" s="2314">
        <f>IF('A(1)-Sources Stmt.'!F21&gt;0,ROUND('A(1)-Sources Stmt.'!F21,0),0)</f>
        <v>0</v>
      </c>
      <c r="J22" s="2315"/>
      <c r="K22" s="2322">
        <f t="shared" si="0"/>
        <v>0</v>
      </c>
      <c r="L22" s="2314"/>
      <c r="M22" s="2311">
        <f t="shared" si="1"/>
        <v>0</v>
      </c>
      <c r="N22" s="2312"/>
      <c r="S22" s="1622">
        <f t="shared" si="2"/>
        <v>0</v>
      </c>
      <c r="T22" s="1330">
        <f t="shared" si="3"/>
        <v>0</v>
      </c>
    </row>
    <row r="23" spans="2:20" s="1330" customFormat="1" ht="13.5" customHeight="1">
      <c r="B23" s="1569">
        <v>4</v>
      </c>
      <c r="C23" s="2301" t="str">
        <f>IF('A(1)-Sources Stmt.'!D22&lt;&gt;"",'A(1)-Sources Stmt.'!D22,"")</f>
        <v/>
      </c>
      <c r="D23" s="2302"/>
      <c r="E23" s="2302"/>
      <c r="F23" s="2302"/>
      <c r="G23" s="2305">
        <v>0</v>
      </c>
      <c r="H23" s="2306"/>
      <c r="I23" s="2314">
        <f>IF('A(1)-Sources Stmt.'!F22&gt;0,ROUND('A(1)-Sources Stmt.'!F22,0),0)</f>
        <v>0</v>
      </c>
      <c r="J23" s="2315"/>
      <c r="K23" s="2322">
        <f t="shared" si="0"/>
        <v>0</v>
      </c>
      <c r="L23" s="2314"/>
      <c r="M23" s="2311">
        <f t="shared" si="1"/>
        <v>0</v>
      </c>
      <c r="N23" s="2312"/>
      <c r="S23" s="1622">
        <f t="shared" si="2"/>
        <v>0</v>
      </c>
      <c r="T23" s="1330">
        <f t="shared" si="3"/>
        <v>0</v>
      </c>
    </row>
    <row r="24" spans="2:20" s="1330" customFormat="1" ht="13.5" customHeight="1">
      <c r="B24" s="1569">
        <v>5</v>
      </c>
      <c r="C24" s="2301" t="str">
        <f>IF('A(1)-Sources Stmt.'!D23&lt;&gt;"",'A(1)-Sources Stmt.'!D23,"")</f>
        <v/>
      </c>
      <c r="D24" s="2302"/>
      <c r="E24" s="2302"/>
      <c r="F24" s="2302"/>
      <c r="G24" s="2305">
        <v>0</v>
      </c>
      <c r="H24" s="2306"/>
      <c r="I24" s="2314">
        <f>IF('A(1)-Sources Stmt.'!F23&gt;0,ROUND('A(1)-Sources Stmt.'!F23,0),0)</f>
        <v>0</v>
      </c>
      <c r="J24" s="2315"/>
      <c r="K24" s="2322">
        <f t="shared" si="0"/>
        <v>0</v>
      </c>
      <c r="L24" s="2314"/>
      <c r="M24" s="2311">
        <f t="shared" si="1"/>
        <v>0</v>
      </c>
      <c r="N24" s="2312"/>
      <c r="S24" s="1622">
        <f t="shared" si="2"/>
        <v>0</v>
      </c>
      <c r="T24" s="1330">
        <f t="shared" si="3"/>
        <v>0</v>
      </c>
    </row>
    <row r="25" spans="2:20" s="1330" customFormat="1" ht="13.5" customHeight="1">
      <c r="B25" s="1569">
        <v>6</v>
      </c>
      <c r="C25" s="2301" t="str">
        <f>IF('A(1)-Sources Stmt.'!D24&lt;&gt;"",'A(1)-Sources Stmt.'!D24,"")</f>
        <v/>
      </c>
      <c r="D25" s="2302"/>
      <c r="E25" s="2302"/>
      <c r="F25" s="2302"/>
      <c r="G25" s="2305">
        <v>0</v>
      </c>
      <c r="H25" s="2306"/>
      <c r="I25" s="2314">
        <f>IF('A(1)-Sources Stmt.'!F24&gt;0,ROUND('A(1)-Sources Stmt.'!F24,0),0)</f>
        <v>0</v>
      </c>
      <c r="J25" s="2315"/>
      <c r="K25" s="2322">
        <f t="shared" si="0"/>
        <v>0</v>
      </c>
      <c r="L25" s="2314"/>
      <c r="M25" s="2311">
        <f t="shared" si="1"/>
        <v>0</v>
      </c>
      <c r="N25" s="2312"/>
      <c r="S25" s="1622">
        <f t="shared" si="2"/>
        <v>0</v>
      </c>
      <c r="T25" s="1330">
        <f t="shared" si="3"/>
        <v>0</v>
      </c>
    </row>
    <row r="26" spans="2:20" s="1330" customFormat="1" ht="13.5" customHeight="1">
      <c r="B26" s="1569">
        <v>7</v>
      </c>
      <c r="C26" s="2301" t="str">
        <f>IF('A(1)-Sources Stmt.'!D25&lt;&gt;"",'A(1)-Sources Stmt.'!D25,"")</f>
        <v/>
      </c>
      <c r="D26" s="2302"/>
      <c r="E26" s="2302"/>
      <c r="F26" s="2302"/>
      <c r="G26" s="2305">
        <v>0</v>
      </c>
      <c r="H26" s="2306"/>
      <c r="I26" s="2314">
        <f>IF('A(1)-Sources Stmt.'!F25&gt;0,ROUND('A(1)-Sources Stmt.'!F25,0),0)</f>
        <v>0</v>
      </c>
      <c r="J26" s="2315"/>
      <c r="K26" s="2322">
        <f t="shared" si="0"/>
        <v>0</v>
      </c>
      <c r="L26" s="2314"/>
      <c r="M26" s="2311">
        <f t="shared" si="1"/>
        <v>0</v>
      </c>
      <c r="N26" s="2312"/>
      <c r="S26" s="1622">
        <f t="shared" si="2"/>
        <v>0</v>
      </c>
      <c r="T26" s="1330">
        <f t="shared" si="3"/>
        <v>0</v>
      </c>
    </row>
    <row r="27" spans="2:20" s="1330" customFormat="1" ht="13.5" customHeight="1">
      <c r="B27" s="1569">
        <v>8</v>
      </c>
      <c r="C27" s="2301" t="str">
        <f>IF('A(1)-Sources Stmt.'!D26&lt;&gt;"",'A(1)-Sources Stmt.'!D26,"")</f>
        <v/>
      </c>
      <c r="D27" s="2302"/>
      <c r="E27" s="2302"/>
      <c r="F27" s="2302"/>
      <c r="G27" s="2305">
        <v>0</v>
      </c>
      <c r="H27" s="2306"/>
      <c r="I27" s="2314">
        <f>IF('A(1)-Sources Stmt.'!F26&gt;0,ROUND('A(1)-Sources Stmt.'!F26,0),0)</f>
        <v>0</v>
      </c>
      <c r="J27" s="2315"/>
      <c r="K27" s="2322">
        <f t="shared" si="0"/>
        <v>0</v>
      </c>
      <c r="L27" s="2314"/>
      <c r="M27" s="2311">
        <f t="shared" si="1"/>
        <v>0</v>
      </c>
      <c r="N27" s="2312"/>
      <c r="S27" s="1622">
        <f t="shared" si="2"/>
        <v>0</v>
      </c>
      <c r="T27" s="1330">
        <f t="shared" si="3"/>
        <v>0</v>
      </c>
    </row>
    <row r="28" spans="2:20" s="1330" customFormat="1" ht="13.5" customHeight="1">
      <c r="B28" s="1569">
        <v>9</v>
      </c>
      <c r="C28" s="2301" t="str">
        <f>IF('A(1)-Sources Stmt.'!D27&lt;&gt;"",'A(1)-Sources Stmt.'!D27,"")</f>
        <v/>
      </c>
      <c r="D28" s="2302"/>
      <c r="E28" s="2302"/>
      <c r="F28" s="2302"/>
      <c r="G28" s="2305">
        <v>0</v>
      </c>
      <c r="H28" s="2306"/>
      <c r="I28" s="2314">
        <f>IF('A(1)-Sources Stmt.'!F27&gt;0,ROUND('A(1)-Sources Stmt.'!F27,0),0)</f>
        <v>0</v>
      </c>
      <c r="J28" s="2315"/>
      <c r="K28" s="2322">
        <f t="shared" si="0"/>
        <v>0</v>
      </c>
      <c r="L28" s="2314"/>
      <c r="M28" s="2311">
        <f t="shared" si="1"/>
        <v>0</v>
      </c>
      <c r="N28" s="2312"/>
      <c r="S28" s="1622">
        <f t="shared" si="2"/>
        <v>0</v>
      </c>
      <c r="T28" s="1330">
        <f t="shared" si="3"/>
        <v>0</v>
      </c>
    </row>
    <row r="29" spans="2:20" s="1330" customFormat="1" ht="13.5" customHeight="1">
      <c r="B29" s="1569">
        <v>10</v>
      </c>
      <c r="C29" s="2301" t="str">
        <f>IF('A(1)-Sources Stmt.'!D28&lt;&gt;"",'A(1)-Sources Stmt.'!D28,"")</f>
        <v/>
      </c>
      <c r="D29" s="2302"/>
      <c r="E29" s="2302"/>
      <c r="F29" s="2302"/>
      <c r="G29" s="2305">
        <v>0</v>
      </c>
      <c r="H29" s="2306"/>
      <c r="I29" s="2314">
        <f>IF('A(1)-Sources Stmt.'!F28&gt;0,ROUND('A(1)-Sources Stmt.'!F28,0),0)</f>
        <v>0</v>
      </c>
      <c r="J29" s="2315"/>
      <c r="K29" s="2322">
        <f t="shared" si="0"/>
        <v>0</v>
      </c>
      <c r="L29" s="2314"/>
      <c r="M29" s="2311">
        <f t="shared" si="1"/>
        <v>0</v>
      </c>
      <c r="N29" s="2312"/>
      <c r="S29" s="1622">
        <f t="shared" si="2"/>
        <v>0</v>
      </c>
      <c r="T29" s="1330">
        <f t="shared" si="3"/>
        <v>0</v>
      </c>
    </row>
    <row r="30" spans="2:20" s="1330" customFormat="1" ht="13.5" customHeight="1">
      <c r="B30" s="1569">
        <v>11</v>
      </c>
      <c r="C30" s="2301" t="str">
        <f>IF('A(1)-Sources Stmt.'!D29&lt;&gt;"",'A(1)-Sources Stmt.'!D29,"")</f>
        <v/>
      </c>
      <c r="D30" s="2302"/>
      <c r="E30" s="2302"/>
      <c r="F30" s="2302"/>
      <c r="G30" s="2305">
        <v>0</v>
      </c>
      <c r="H30" s="2306"/>
      <c r="I30" s="2314">
        <f>IF('A(1)-Sources Stmt.'!F29&gt;0,ROUND('A(1)-Sources Stmt.'!F29,0),0)</f>
        <v>0</v>
      </c>
      <c r="J30" s="2315"/>
      <c r="K30" s="2322">
        <f t="shared" si="0"/>
        <v>0</v>
      </c>
      <c r="L30" s="2314"/>
      <c r="M30" s="2311">
        <f t="shared" si="1"/>
        <v>0</v>
      </c>
      <c r="N30" s="2312"/>
      <c r="S30" s="1622">
        <f t="shared" si="2"/>
        <v>0</v>
      </c>
      <c r="T30" s="1330">
        <f t="shared" si="3"/>
        <v>0</v>
      </c>
    </row>
    <row r="31" spans="2:20" s="1330" customFormat="1" ht="13.5" customHeight="1">
      <c r="B31" s="1570">
        <v>12</v>
      </c>
      <c r="C31" s="2301" t="str">
        <f>IF('A(1)-Sources Stmt.'!D30&lt;&gt;"",'A(1)-Sources Stmt.'!D30,"")</f>
        <v/>
      </c>
      <c r="D31" s="2302"/>
      <c r="E31" s="2302"/>
      <c r="F31" s="2302"/>
      <c r="G31" s="2305">
        <v>0</v>
      </c>
      <c r="H31" s="2306"/>
      <c r="I31" s="2314">
        <f>IF('A(1)-Sources Stmt.'!F30&gt;0,ROUND('A(1)-Sources Stmt.'!F30,0),0)</f>
        <v>0</v>
      </c>
      <c r="J31" s="2315"/>
      <c r="K31" s="2322">
        <f t="shared" si="0"/>
        <v>0</v>
      </c>
      <c r="L31" s="2314"/>
      <c r="M31" s="2311">
        <f t="shared" si="1"/>
        <v>0</v>
      </c>
      <c r="N31" s="2312"/>
      <c r="S31" s="1622">
        <f t="shared" si="2"/>
        <v>0</v>
      </c>
      <c r="T31" s="1330">
        <f t="shared" si="3"/>
        <v>0</v>
      </c>
    </row>
    <row r="32" spans="2:20" s="1330" customFormat="1" ht="13.5" customHeight="1">
      <c r="B32" s="1570">
        <v>13</v>
      </c>
      <c r="C32" s="1803"/>
      <c r="D32" s="2333"/>
      <c r="E32" s="2333"/>
      <c r="F32" s="2334"/>
      <c r="G32" s="2305">
        <v>0</v>
      </c>
      <c r="H32" s="2306"/>
      <c r="I32" s="2314">
        <v>0</v>
      </c>
      <c r="J32" s="2315"/>
      <c r="K32" s="2322">
        <f t="shared" si="0"/>
        <v>0</v>
      </c>
      <c r="L32" s="2314"/>
      <c r="M32" s="2311">
        <f t="shared" si="1"/>
        <v>0</v>
      </c>
      <c r="N32" s="2312"/>
      <c r="S32" s="1622">
        <f t="shared" ref="S32:S35" si="4">IF(K32&lt;0,K32*-1,K32)</f>
        <v>0</v>
      </c>
      <c r="T32" s="1330">
        <f t="shared" ref="T32:T35" si="5">IF(AND(S32&gt;=$M$15,S32&gt;0),1,0)</f>
        <v>0</v>
      </c>
    </row>
    <row r="33" spans="2:20" s="1330" customFormat="1" ht="13.5" customHeight="1">
      <c r="B33" s="1569">
        <v>14</v>
      </c>
      <c r="C33" s="1803"/>
      <c r="D33" s="2333"/>
      <c r="E33" s="2333"/>
      <c r="F33" s="2334"/>
      <c r="G33" s="2305">
        <v>0</v>
      </c>
      <c r="H33" s="2306"/>
      <c r="I33" s="2314">
        <v>0</v>
      </c>
      <c r="J33" s="2315"/>
      <c r="K33" s="2322">
        <f t="shared" ref="K33:K35" si="6">IF(G33&lt;&gt;"",I33-G33,0)</f>
        <v>0</v>
      </c>
      <c r="L33" s="2314"/>
      <c r="M33" s="2311">
        <f t="shared" ref="M33:M35" si="7">IF(AND(G33&lt;&gt;"",G33&gt;0),K33/G33,IF(AND(G33&lt;1,I33&gt;0),1,0))</f>
        <v>0</v>
      </c>
      <c r="N33" s="2312"/>
      <c r="S33" s="1622">
        <f t="shared" si="4"/>
        <v>0</v>
      </c>
      <c r="T33" s="1330">
        <f t="shared" si="5"/>
        <v>0</v>
      </c>
    </row>
    <row r="34" spans="2:20" s="1330" customFormat="1" ht="13.5" customHeight="1">
      <c r="B34" s="1569">
        <v>15</v>
      </c>
      <c r="C34" s="1803"/>
      <c r="D34" s="2333"/>
      <c r="E34" s="2333"/>
      <c r="F34" s="2334"/>
      <c r="G34" s="2305">
        <v>0</v>
      </c>
      <c r="H34" s="2306"/>
      <c r="I34" s="2314">
        <v>0</v>
      </c>
      <c r="J34" s="2315"/>
      <c r="K34" s="2322">
        <f t="shared" si="6"/>
        <v>0</v>
      </c>
      <c r="L34" s="2314"/>
      <c r="M34" s="2311">
        <f t="shared" si="7"/>
        <v>0</v>
      </c>
      <c r="N34" s="2312"/>
      <c r="S34" s="1622">
        <f t="shared" si="4"/>
        <v>0</v>
      </c>
      <c r="T34" s="1330">
        <f t="shared" si="5"/>
        <v>0</v>
      </c>
    </row>
    <row r="35" spans="2:20" s="1330" customFormat="1" ht="13.5" customHeight="1">
      <c r="B35" s="1570">
        <v>16</v>
      </c>
      <c r="C35" s="1803"/>
      <c r="D35" s="2333"/>
      <c r="E35" s="2333"/>
      <c r="F35" s="2334"/>
      <c r="G35" s="2305">
        <v>0</v>
      </c>
      <c r="H35" s="2306"/>
      <c r="I35" s="2314">
        <v>0</v>
      </c>
      <c r="J35" s="2315"/>
      <c r="K35" s="2322">
        <f t="shared" si="6"/>
        <v>0</v>
      </c>
      <c r="L35" s="2314"/>
      <c r="M35" s="2311">
        <f t="shared" si="7"/>
        <v>0</v>
      </c>
      <c r="N35" s="2312"/>
      <c r="S35" s="1622">
        <f t="shared" si="4"/>
        <v>0</v>
      </c>
      <c r="T35" s="1330">
        <f t="shared" si="5"/>
        <v>0</v>
      </c>
    </row>
    <row r="36" spans="2:20" s="1330" customFormat="1" ht="13.5" customHeight="1" thickBot="1">
      <c r="B36" s="1570">
        <v>17</v>
      </c>
      <c r="C36" s="1803"/>
      <c r="D36" s="2333"/>
      <c r="E36" s="2333"/>
      <c r="F36" s="2334"/>
      <c r="G36" s="2305">
        <v>0</v>
      </c>
      <c r="H36" s="2306"/>
      <c r="I36" s="2314">
        <v>0</v>
      </c>
      <c r="J36" s="2315"/>
      <c r="K36" s="2322">
        <f t="shared" ref="K36" si="8">IF(G36&lt;&gt;"",I36-G36,0)</f>
        <v>0</v>
      </c>
      <c r="L36" s="2314"/>
      <c r="M36" s="2311">
        <f t="shared" ref="M36" si="9">IF(AND(G36&lt;&gt;"",G36&gt;0),K36/G36,IF(AND(G36&lt;1,I36&gt;0),1,0))</f>
        <v>0</v>
      </c>
      <c r="N36" s="2312"/>
      <c r="S36" s="1622">
        <f t="shared" ref="S36" si="10">IF(K36&lt;0,K36*-1,K36)</f>
        <v>0</v>
      </c>
      <c r="T36" s="1330">
        <f t="shared" ref="T36" si="11">IF(AND(S36&gt;=$M$15,S36&gt;0),1,0)</f>
        <v>0</v>
      </c>
    </row>
    <row r="37" spans="2:20" s="1330" customFormat="1" ht="13.5" customHeight="1" thickTop="1" thickBot="1">
      <c r="C37" s="2328" t="s">
        <v>796</v>
      </c>
      <c r="D37" s="2328"/>
      <c r="E37" s="2328"/>
      <c r="F37" s="2328"/>
      <c r="G37" s="2313">
        <f>ROUND(SUM(G20:H36),0)</f>
        <v>0</v>
      </c>
      <c r="H37" s="2308"/>
      <c r="I37" s="2308">
        <f>SUM(I20:J36)</f>
        <v>0</v>
      </c>
      <c r="J37" s="2308"/>
      <c r="K37" s="2308">
        <f>SUM(K20:L36)</f>
        <v>0</v>
      </c>
      <c r="L37" s="2308"/>
      <c r="M37" s="2309">
        <f>IF(AND(G37&lt;&gt;"",G37&gt;0),K37/G37,IF(AND(G37&lt;1,I37&gt;0),1,0))</f>
        <v>0</v>
      </c>
      <c r="N37" s="2310"/>
      <c r="R37" s="1330">
        <f>COUNTIF(T20:T37,"&gt;0")</f>
        <v>0</v>
      </c>
      <c r="S37" s="1622">
        <f>IF(K37&lt;0,K37*-1,K37)</f>
        <v>0</v>
      </c>
      <c r="T37" s="1330">
        <f t="shared" si="3"/>
        <v>0</v>
      </c>
    </row>
    <row r="38" spans="2:20" ht="17.25" customHeight="1" thickTop="1">
      <c r="C38" s="2303" t="str">
        <f>IF(R37&gt;0,"Please explain any variance of 5% of previous TDC or more in any line item above and/or total construction sources since the previous submission:","")</f>
        <v/>
      </c>
      <c r="D38" s="2303"/>
      <c r="E38" s="2303"/>
      <c r="F38" s="2303"/>
      <c r="G38" s="2303"/>
      <c r="H38" s="2303"/>
      <c r="I38" s="2303"/>
      <c r="J38" s="2303"/>
      <c r="K38" s="2303"/>
      <c r="L38" s="2303"/>
      <c r="M38" s="2303"/>
      <c r="N38" s="1374"/>
      <c r="O38" s="1374"/>
      <c r="R38" s="1313">
        <f>COUNTIF(R37,"&gt;0")</f>
        <v>0</v>
      </c>
    </row>
    <row r="39" spans="2:20" ht="46.5" customHeight="1">
      <c r="B39" s="2330"/>
      <c r="C39" s="2330"/>
      <c r="D39" s="2330"/>
      <c r="E39" s="2330"/>
      <c r="F39" s="2330"/>
      <c r="G39" s="2330"/>
      <c r="H39" s="2330"/>
      <c r="I39" s="2330"/>
      <c r="J39" s="2330"/>
      <c r="K39" s="2330"/>
      <c r="L39" s="2330"/>
      <c r="M39" s="2330"/>
      <c r="N39" s="2330"/>
      <c r="O39" s="1373"/>
      <c r="R39" s="1313">
        <f>COUNTIF(B39,"")</f>
        <v>1</v>
      </c>
      <c r="S39" s="1313">
        <f>R38+R39</f>
        <v>1</v>
      </c>
    </row>
    <row r="40" spans="2:20" ht="4.5" customHeight="1">
      <c r="C40" s="1332"/>
      <c r="D40" s="1332"/>
      <c r="E40" s="1332"/>
      <c r="F40" s="1332"/>
      <c r="G40" s="1333"/>
      <c r="H40" s="1333"/>
      <c r="I40" s="1332"/>
      <c r="J40" s="1332"/>
      <c r="K40" s="1332"/>
      <c r="L40" s="1332"/>
    </row>
    <row r="41" spans="2:20" ht="18.75" customHeight="1">
      <c r="C41" s="1362" t="s">
        <v>1164</v>
      </c>
      <c r="D41" s="1362"/>
      <c r="E41" s="1362"/>
      <c r="F41" s="1352"/>
      <c r="G41" s="2318" t="s">
        <v>1165</v>
      </c>
      <c r="H41" s="2336"/>
      <c r="I41" s="2336" t="s">
        <v>1166</v>
      </c>
      <c r="J41" s="2336"/>
      <c r="K41" s="2336" t="s">
        <v>1167</v>
      </c>
      <c r="L41" s="2336"/>
      <c r="M41" s="2335" t="s">
        <v>1168</v>
      </c>
      <c r="N41" s="2320"/>
    </row>
    <row r="42" spans="2:20" s="1330" customFormat="1" ht="13.5" customHeight="1">
      <c r="C42" s="2327" t="s">
        <v>31</v>
      </c>
      <c r="D42" s="2327"/>
      <c r="E42" s="2327"/>
      <c r="F42" s="2327"/>
      <c r="M42" s="1334"/>
      <c r="N42" s="1334"/>
    </row>
    <row r="43" spans="2:20" s="1330" customFormat="1" ht="13.5" customHeight="1">
      <c r="B43" s="1568">
        <v>1</v>
      </c>
      <c r="C43" s="2301" t="str">
        <f>IF('A(1)-Sources Stmt.'!D34&lt;&gt;"",'A(1)-Sources Stmt.'!D34,"")</f>
        <v>FHLB AHP Subsidy</v>
      </c>
      <c r="D43" s="2302"/>
      <c r="E43" s="2302"/>
      <c r="F43" s="2307"/>
      <c r="G43" s="2331">
        <v>0</v>
      </c>
      <c r="H43" s="2332"/>
      <c r="I43" s="2314">
        <f>IF('A(1)-Sources Stmt.'!F34&gt;0,ROUND('A(1)-Sources Stmt.'!F34,0),0)</f>
        <v>0</v>
      </c>
      <c r="J43" s="2314"/>
      <c r="K43" s="2322">
        <f>IF(G43&lt;&gt;"",I43-G43,0)</f>
        <v>0</v>
      </c>
      <c r="L43" s="2314"/>
      <c r="M43" s="2311">
        <f>IF(AND(G43&lt;&gt;"",G43&gt;0),K43/G43,IF(AND(G43&lt;1,I43&gt;0),1,0))</f>
        <v>0</v>
      </c>
      <c r="N43" s="2312"/>
      <c r="S43" s="1622">
        <f t="shared" ref="S43:S66" si="12">IF(K43&lt;0,K43*-1,K43)</f>
        <v>0</v>
      </c>
      <c r="T43" s="1330">
        <f t="shared" ref="T43:T66" si="13">IF(AND(S43&gt;=$M$15,S43&gt;0),1,0)</f>
        <v>0</v>
      </c>
    </row>
    <row r="44" spans="2:20" s="1330" customFormat="1" ht="13.5" customHeight="1">
      <c r="B44" s="1569">
        <v>2</v>
      </c>
      <c r="C44" s="2301" t="str">
        <f>IF('A(1)-Sources Stmt.'!D35&lt;&gt;"",'A(1)-Sources Stmt.'!D35,"")</f>
        <v/>
      </c>
      <c r="D44" s="2302"/>
      <c r="E44" s="2302"/>
      <c r="F44" s="2307"/>
      <c r="G44" s="2305">
        <v>0</v>
      </c>
      <c r="H44" s="2306"/>
      <c r="I44" s="2314">
        <f>IF('A(1)-Sources Stmt.'!F35&gt;0,ROUND('A(1)-Sources Stmt.'!F35,0),0)</f>
        <v>0</v>
      </c>
      <c r="J44" s="2314"/>
      <c r="K44" s="2322">
        <f t="shared" ref="K44:K54" si="14">IF(G44&lt;&gt;"",I44-G44,0)</f>
        <v>0</v>
      </c>
      <c r="L44" s="2314"/>
      <c r="M44" s="2311">
        <f t="shared" ref="M44:M66" si="15">IF(AND(G44&lt;&gt;"",G44&gt;0),K44/G44,IF(AND(G44&lt;1,I44&gt;0),1,0))</f>
        <v>0</v>
      </c>
      <c r="N44" s="2312"/>
      <c r="S44" s="1622">
        <f t="shared" si="12"/>
        <v>0</v>
      </c>
      <c r="T44" s="1330">
        <f t="shared" si="13"/>
        <v>0</v>
      </c>
    </row>
    <row r="45" spans="2:20" s="1330" customFormat="1" ht="13.5" customHeight="1">
      <c r="B45" s="1569">
        <v>3</v>
      </c>
      <c r="C45" s="2301" t="str">
        <f>IF('A(1)-Sources Stmt.'!D36&lt;&gt;"",'A(1)-Sources Stmt.'!D36,"")</f>
        <v/>
      </c>
      <c r="D45" s="2302"/>
      <c r="E45" s="2302"/>
      <c r="F45" s="2307"/>
      <c r="G45" s="2305">
        <v>0</v>
      </c>
      <c r="H45" s="2306"/>
      <c r="I45" s="2314">
        <f>IF('A(1)-Sources Stmt.'!F36&gt;0,ROUND('A(1)-Sources Stmt.'!F36,0),0)</f>
        <v>0</v>
      </c>
      <c r="J45" s="2314"/>
      <c r="K45" s="2322">
        <f t="shared" si="14"/>
        <v>0</v>
      </c>
      <c r="L45" s="2314"/>
      <c r="M45" s="2311">
        <f t="shared" si="15"/>
        <v>0</v>
      </c>
      <c r="N45" s="2312"/>
      <c r="S45" s="1622">
        <f t="shared" si="12"/>
        <v>0</v>
      </c>
      <c r="T45" s="1330">
        <f t="shared" si="13"/>
        <v>0</v>
      </c>
    </row>
    <row r="46" spans="2:20" s="1330" customFormat="1" ht="13.5" customHeight="1">
      <c r="B46" s="1569">
        <v>4</v>
      </c>
      <c r="C46" s="2301" t="str">
        <f>IF('A(1)-Sources Stmt.'!D37&lt;&gt;"",'A(1)-Sources Stmt.'!D37,"")</f>
        <v/>
      </c>
      <c r="D46" s="2302"/>
      <c r="E46" s="2302"/>
      <c r="F46" s="2307"/>
      <c r="G46" s="2305">
        <v>0</v>
      </c>
      <c r="H46" s="2306"/>
      <c r="I46" s="2314">
        <f>IF('A(1)-Sources Stmt.'!F37&gt;0,ROUND('A(1)-Sources Stmt.'!F37,0),0)</f>
        <v>0</v>
      </c>
      <c r="J46" s="2314"/>
      <c r="K46" s="2322">
        <f t="shared" si="14"/>
        <v>0</v>
      </c>
      <c r="L46" s="2314"/>
      <c r="M46" s="2311">
        <f t="shared" si="15"/>
        <v>0</v>
      </c>
      <c r="N46" s="2312"/>
      <c r="S46" s="1622">
        <f t="shared" si="12"/>
        <v>0</v>
      </c>
      <c r="T46" s="1330">
        <f t="shared" si="13"/>
        <v>0</v>
      </c>
    </row>
    <row r="47" spans="2:20" s="1330" customFormat="1" ht="13.5" customHeight="1">
      <c r="B47" s="1569">
        <v>5</v>
      </c>
      <c r="C47" s="2301" t="str">
        <f>IF('A(1)-Sources Stmt.'!D38&lt;&gt;"",'A(1)-Sources Stmt.'!D38,"")</f>
        <v/>
      </c>
      <c r="D47" s="2302"/>
      <c r="E47" s="2302"/>
      <c r="F47" s="2307"/>
      <c r="G47" s="2305">
        <v>0</v>
      </c>
      <c r="H47" s="2306"/>
      <c r="I47" s="2314">
        <f>IF('A(1)-Sources Stmt.'!F38&gt;0,ROUND('A(1)-Sources Stmt.'!F38,0),0)</f>
        <v>0</v>
      </c>
      <c r="J47" s="2314"/>
      <c r="K47" s="2322">
        <f t="shared" si="14"/>
        <v>0</v>
      </c>
      <c r="L47" s="2314"/>
      <c r="M47" s="2311">
        <f t="shared" si="15"/>
        <v>0</v>
      </c>
      <c r="N47" s="2312"/>
      <c r="S47" s="1622">
        <f t="shared" si="12"/>
        <v>0</v>
      </c>
      <c r="T47" s="1330">
        <f t="shared" si="13"/>
        <v>0</v>
      </c>
    </row>
    <row r="48" spans="2:20" s="1330" customFormat="1" ht="13.5" customHeight="1">
      <c r="B48" s="1569">
        <v>6</v>
      </c>
      <c r="C48" s="2301" t="str">
        <f>IF('A(1)-Sources Stmt.'!D39&lt;&gt;"",'A(1)-Sources Stmt.'!D39,"")</f>
        <v/>
      </c>
      <c r="D48" s="2302"/>
      <c r="E48" s="2302"/>
      <c r="F48" s="2307"/>
      <c r="G48" s="2305">
        <v>0</v>
      </c>
      <c r="H48" s="2306"/>
      <c r="I48" s="2314">
        <f>IF('A(1)-Sources Stmt.'!F39&gt;0,ROUND('A(1)-Sources Stmt.'!F39,0),0)</f>
        <v>0</v>
      </c>
      <c r="J48" s="2314"/>
      <c r="K48" s="2322">
        <f t="shared" si="14"/>
        <v>0</v>
      </c>
      <c r="L48" s="2314"/>
      <c r="M48" s="2311">
        <f t="shared" si="15"/>
        <v>0</v>
      </c>
      <c r="N48" s="2312"/>
      <c r="S48" s="1622">
        <f t="shared" si="12"/>
        <v>0</v>
      </c>
      <c r="T48" s="1330">
        <f t="shared" si="13"/>
        <v>0</v>
      </c>
    </row>
    <row r="49" spans="2:20" s="1330" customFormat="1" ht="13.5" customHeight="1">
      <c r="B49" s="1569">
        <v>7</v>
      </c>
      <c r="C49" s="2301" t="str">
        <f>IF('A(1)-Sources Stmt.'!D40&lt;&gt;"",'A(1)-Sources Stmt.'!D40,"")</f>
        <v/>
      </c>
      <c r="D49" s="2302"/>
      <c r="E49" s="2302"/>
      <c r="F49" s="2307"/>
      <c r="G49" s="2305">
        <v>0</v>
      </c>
      <c r="H49" s="2306"/>
      <c r="I49" s="2314">
        <f>IF('A(1)-Sources Stmt.'!F40&gt;0,ROUND('A(1)-Sources Stmt.'!F40,0),0)</f>
        <v>0</v>
      </c>
      <c r="J49" s="2314"/>
      <c r="K49" s="2322">
        <f t="shared" si="14"/>
        <v>0</v>
      </c>
      <c r="L49" s="2315"/>
      <c r="M49" s="2311">
        <f t="shared" si="15"/>
        <v>0</v>
      </c>
      <c r="N49" s="2312"/>
      <c r="S49" s="1622">
        <f t="shared" si="12"/>
        <v>0</v>
      </c>
      <c r="T49" s="1330">
        <f t="shared" si="13"/>
        <v>0</v>
      </c>
    </row>
    <row r="50" spans="2:20" s="1330" customFormat="1" ht="13.5" customHeight="1">
      <c r="B50" s="1569">
        <v>8</v>
      </c>
      <c r="C50" s="2301" t="str">
        <f>IF('A(1)-Sources Stmt.'!D41&lt;&gt;"",'A(1)-Sources Stmt.'!D41,"")</f>
        <v/>
      </c>
      <c r="D50" s="2302"/>
      <c r="E50" s="2302"/>
      <c r="F50" s="2307"/>
      <c r="G50" s="2305">
        <v>0</v>
      </c>
      <c r="H50" s="2306"/>
      <c r="I50" s="2314">
        <f>IF('A(1)-Sources Stmt.'!F41&gt;0,ROUND('A(1)-Sources Stmt.'!F41,0),0)</f>
        <v>0</v>
      </c>
      <c r="J50" s="2314"/>
      <c r="K50" s="2322">
        <f t="shared" si="14"/>
        <v>0</v>
      </c>
      <c r="L50" s="2315"/>
      <c r="M50" s="2311">
        <f t="shared" si="15"/>
        <v>0</v>
      </c>
      <c r="N50" s="2312"/>
      <c r="S50" s="1622">
        <f t="shared" si="12"/>
        <v>0</v>
      </c>
      <c r="T50" s="1330">
        <f t="shared" si="13"/>
        <v>0</v>
      </c>
    </row>
    <row r="51" spans="2:20" s="1330" customFormat="1" ht="13.5" customHeight="1">
      <c r="B51" s="1569">
        <v>9</v>
      </c>
      <c r="C51" s="2301" t="str">
        <f>IF('A(1)-Sources Stmt.'!D42&lt;&gt;"",'A(1)-Sources Stmt.'!D42,"")</f>
        <v/>
      </c>
      <c r="D51" s="2302"/>
      <c r="E51" s="2302"/>
      <c r="F51" s="2307"/>
      <c r="G51" s="2305">
        <v>0</v>
      </c>
      <c r="H51" s="2306"/>
      <c r="I51" s="2314">
        <f>IF('A(1)-Sources Stmt.'!F42&gt;0,ROUND('A(1)-Sources Stmt.'!F42,0),0)</f>
        <v>0</v>
      </c>
      <c r="J51" s="2314"/>
      <c r="K51" s="2322">
        <f t="shared" si="14"/>
        <v>0</v>
      </c>
      <c r="L51" s="2315"/>
      <c r="M51" s="2311">
        <f t="shared" si="15"/>
        <v>0</v>
      </c>
      <c r="N51" s="2312"/>
      <c r="S51" s="1622">
        <f t="shared" si="12"/>
        <v>0</v>
      </c>
      <c r="T51" s="1330">
        <f t="shared" si="13"/>
        <v>0</v>
      </c>
    </row>
    <row r="52" spans="2:20" s="1330" customFormat="1" ht="13.5" customHeight="1">
      <c r="B52" s="1569">
        <v>10</v>
      </c>
      <c r="C52" s="2301" t="str">
        <f>IF('A(1)-Sources Stmt.'!D43&lt;&gt;"",'A(1)-Sources Stmt.'!D43,"")</f>
        <v/>
      </c>
      <c r="D52" s="2302"/>
      <c r="E52" s="2302"/>
      <c r="F52" s="2307"/>
      <c r="G52" s="2305">
        <v>0</v>
      </c>
      <c r="H52" s="2306"/>
      <c r="I52" s="2314">
        <f>IF('A(1)-Sources Stmt.'!F43&gt;0,ROUND('A(1)-Sources Stmt.'!F43,0),0)</f>
        <v>0</v>
      </c>
      <c r="J52" s="2314"/>
      <c r="K52" s="2322">
        <f t="shared" si="14"/>
        <v>0</v>
      </c>
      <c r="L52" s="2315"/>
      <c r="M52" s="2311">
        <f t="shared" si="15"/>
        <v>0</v>
      </c>
      <c r="N52" s="2312"/>
      <c r="S52" s="1622">
        <f t="shared" si="12"/>
        <v>0</v>
      </c>
      <c r="T52" s="1330">
        <f t="shared" si="13"/>
        <v>0</v>
      </c>
    </row>
    <row r="53" spans="2:20" s="1330" customFormat="1" ht="13.5" customHeight="1">
      <c r="B53" s="1569">
        <v>11</v>
      </c>
      <c r="C53" s="2301" t="str">
        <f>IF('A(1)-Sources Stmt.'!D44&lt;&gt;"",'A(1)-Sources Stmt.'!D44,"")</f>
        <v/>
      </c>
      <c r="D53" s="2302"/>
      <c r="E53" s="2302"/>
      <c r="F53" s="2307"/>
      <c r="G53" s="2305">
        <v>0</v>
      </c>
      <c r="H53" s="2306"/>
      <c r="I53" s="2314">
        <f>IF('A(1)-Sources Stmt.'!F44&gt;0,ROUND('A(1)-Sources Stmt.'!F44,0),0)</f>
        <v>0</v>
      </c>
      <c r="J53" s="2314"/>
      <c r="K53" s="2322">
        <f t="shared" si="14"/>
        <v>0</v>
      </c>
      <c r="L53" s="2315"/>
      <c r="M53" s="2311">
        <f t="shared" si="15"/>
        <v>0</v>
      </c>
      <c r="N53" s="2312"/>
      <c r="S53" s="1622">
        <f t="shared" si="12"/>
        <v>0</v>
      </c>
      <c r="T53" s="1330">
        <f t="shared" si="13"/>
        <v>0</v>
      </c>
    </row>
    <row r="54" spans="2:20" s="1330" customFormat="1" ht="13.5" customHeight="1">
      <c r="B54" s="1570">
        <v>12</v>
      </c>
      <c r="C54" s="2301" t="str">
        <f>IF('A(1)-Sources Stmt.'!D45&lt;&gt;"",'A(1)-Sources Stmt.'!D45,"")</f>
        <v/>
      </c>
      <c r="D54" s="2302"/>
      <c r="E54" s="2302"/>
      <c r="F54" s="2307"/>
      <c r="G54" s="2305">
        <v>0</v>
      </c>
      <c r="H54" s="2306"/>
      <c r="I54" s="2314">
        <f>IF('A(1)-Sources Stmt.'!F45&gt;0,ROUND('A(1)-Sources Stmt.'!F45,0),0)</f>
        <v>0</v>
      </c>
      <c r="J54" s="2314"/>
      <c r="K54" s="2322">
        <f t="shared" si="14"/>
        <v>0</v>
      </c>
      <c r="L54" s="2315"/>
      <c r="M54" s="2311">
        <f t="shared" si="15"/>
        <v>0</v>
      </c>
      <c r="N54" s="2312"/>
      <c r="S54" s="1622">
        <f t="shared" si="12"/>
        <v>0</v>
      </c>
      <c r="T54" s="1330">
        <f t="shared" si="13"/>
        <v>0</v>
      </c>
    </row>
    <row r="55" spans="2:20" s="1330" customFormat="1" ht="13.5" customHeight="1">
      <c r="B55" s="1569">
        <v>13</v>
      </c>
      <c r="C55" s="2301" t="str">
        <f>IF('A(1)-Sources Stmt.'!D46&lt;&gt;"",'A(1)-Sources Stmt.'!D46,"")</f>
        <v/>
      </c>
      <c r="D55" s="2302"/>
      <c r="E55" s="2302"/>
      <c r="F55" s="2307"/>
      <c r="G55" s="2305">
        <v>0</v>
      </c>
      <c r="H55" s="2306"/>
      <c r="I55" s="2314">
        <f>IF('A(1)-Sources Stmt.'!F46&gt;0,ROUND('A(1)-Sources Stmt.'!F46,0),0)</f>
        <v>0</v>
      </c>
      <c r="J55" s="2314"/>
      <c r="K55" s="2322">
        <f t="shared" ref="K55:K65" si="16">IF(G55&lt;&gt;"",I55-G55,0)</f>
        <v>0</v>
      </c>
      <c r="L55" s="2315"/>
      <c r="M55" s="2311">
        <f t="shared" ref="M55:M65" si="17">IF(AND(G55&lt;&gt;"",G55&gt;0),K55/G55,IF(AND(G55&lt;1,I55&gt;0),1,0))</f>
        <v>0</v>
      </c>
      <c r="N55" s="2312"/>
      <c r="S55" s="1622">
        <f t="shared" si="12"/>
        <v>0</v>
      </c>
      <c r="T55" s="1330">
        <f t="shared" si="13"/>
        <v>0</v>
      </c>
    </row>
    <row r="56" spans="2:20" s="1330" customFormat="1" ht="13.5" customHeight="1">
      <c r="B56" s="1570">
        <v>14</v>
      </c>
      <c r="C56" s="2301" t="str">
        <f>IF('A(1)-Sources Stmt.'!D47&lt;&gt;"",'A(1)-Sources Stmt.'!D47,"")</f>
        <v/>
      </c>
      <c r="D56" s="2302"/>
      <c r="E56" s="2302"/>
      <c r="F56" s="2307"/>
      <c r="G56" s="2305">
        <v>0</v>
      </c>
      <c r="H56" s="2306"/>
      <c r="I56" s="2314">
        <f>IF('A(1)-Sources Stmt.'!F47&gt;0,ROUND('A(1)-Sources Stmt.'!F47,0),0)</f>
        <v>0</v>
      </c>
      <c r="J56" s="2314"/>
      <c r="K56" s="2322">
        <f t="shared" si="16"/>
        <v>0</v>
      </c>
      <c r="L56" s="2315"/>
      <c r="M56" s="2311">
        <f t="shared" si="17"/>
        <v>0</v>
      </c>
      <c r="N56" s="2312"/>
      <c r="S56" s="1622">
        <f t="shared" si="12"/>
        <v>0</v>
      </c>
      <c r="T56" s="1330">
        <f t="shared" si="13"/>
        <v>0</v>
      </c>
    </row>
    <row r="57" spans="2:20" s="1330" customFormat="1" ht="13.5" customHeight="1">
      <c r="B57" s="1569">
        <v>15</v>
      </c>
      <c r="C57" s="2301" t="str">
        <f>IF('A(1)-Sources Stmt.'!D48&lt;&gt;"",'A(1)-Sources Stmt.'!D48,"")</f>
        <v/>
      </c>
      <c r="D57" s="2302"/>
      <c r="E57" s="2302"/>
      <c r="F57" s="2307"/>
      <c r="G57" s="2305">
        <v>0</v>
      </c>
      <c r="H57" s="2306"/>
      <c r="I57" s="2314">
        <f>IF('A(1)-Sources Stmt.'!F48&gt;0,ROUND('A(1)-Sources Stmt.'!F48,0),0)</f>
        <v>0</v>
      </c>
      <c r="J57" s="2314"/>
      <c r="K57" s="2322">
        <f t="shared" si="16"/>
        <v>0</v>
      </c>
      <c r="L57" s="2315"/>
      <c r="M57" s="2311">
        <f t="shared" si="17"/>
        <v>0</v>
      </c>
      <c r="N57" s="2312"/>
      <c r="S57" s="1622">
        <f t="shared" si="12"/>
        <v>0</v>
      </c>
      <c r="T57" s="1330">
        <f t="shared" si="13"/>
        <v>0</v>
      </c>
    </row>
    <row r="58" spans="2:20" s="1330" customFormat="1" ht="13.5" customHeight="1">
      <c r="B58" s="1570">
        <v>16</v>
      </c>
      <c r="C58" s="2301" t="str">
        <f>IF('A(1)-Sources Stmt.'!D49&lt;&gt;"",'A(1)-Sources Stmt.'!D49,"")</f>
        <v/>
      </c>
      <c r="D58" s="2302"/>
      <c r="E58" s="2302"/>
      <c r="F58" s="2307"/>
      <c r="G58" s="2305">
        <v>0</v>
      </c>
      <c r="H58" s="2306"/>
      <c r="I58" s="2314">
        <f>IF('A(1)-Sources Stmt.'!F49&gt;0,ROUND('A(1)-Sources Stmt.'!F49,0),0)</f>
        <v>0</v>
      </c>
      <c r="J58" s="2314"/>
      <c r="K58" s="2322">
        <f t="shared" si="16"/>
        <v>0</v>
      </c>
      <c r="L58" s="2315"/>
      <c r="M58" s="2311">
        <f t="shared" si="17"/>
        <v>0</v>
      </c>
      <c r="N58" s="2312"/>
      <c r="S58" s="1622">
        <f t="shared" si="12"/>
        <v>0</v>
      </c>
      <c r="T58" s="1330">
        <f t="shared" si="13"/>
        <v>0</v>
      </c>
    </row>
    <row r="59" spans="2:20" s="1330" customFormat="1" ht="13.5" customHeight="1">
      <c r="B59" s="1570">
        <v>17</v>
      </c>
      <c r="C59" s="1803"/>
      <c r="D59" s="2333"/>
      <c r="E59" s="2333"/>
      <c r="F59" s="2334"/>
      <c r="G59" s="2305">
        <v>0</v>
      </c>
      <c r="H59" s="2306"/>
      <c r="I59" s="2314">
        <v>0</v>
      </c>
      <c r="J59" s="2315"/>
      <c r="K59" s="2322">
        <f t="shared" si="16"/>
        <v>0</v>
      </c>
      <c r="L59" s="2314"/>
      <c r="M59" s="2311">
        <f t="shared" si="17"/>
        <v>0</v>
      </c>
      <c r="N59" s="2312"/>
      <c r="S59" s="1622">
        <f t="shared" ref="S59:S65" si="18">IF(K59&lt;0,K59*-1,K59)</f>
        <v>0</v>
      </c>
      <c r="T59" s="1330">
        <f t="shared" ref="T59:T65" si="19">IF(AND(S59&gt;=$M$15,S59&gt;0),1,0)</f>
        <v>0</v>
      </c>
    </row>
    <row r="60" spans="2:20" s="1330" customFormat="1" ht="13.5" customHeight="1">
      <c r="B60" s="1569">
        <v>18</v>
      </c>
      <c r="C60" s="1803"/>
      <c r="D60" s="2333"/>
      <c r="E60" s="2333"/>
      <c r="F60" s="2334"/>
      <c r="G60" s="2305">
        <v>0</v>
      </c>
      <c r="H60" s="2306"/>
      <c r="I60" s="2314">
        <v>0</v>
      </c>
      <c r="J60" s="2315"/>
      <c r="K60" s="2322">
        <f t="shared" si="16"/>
        <v>0</v>
      </c>
      <c r="L60" s="2314"/>
      <c r="M60" s="2311">
        <f t="shared" si="17"/>
        <v>0</v>
      </c>
      <c r="N60" s="2312"/>
      <c r="S60" s="1622">
        <f t="shared" si="18"/>
        <v>0</v>
      </c>
      <c r="T60" s="1330">
        <f t="shared" si="19"/>
        <v>0</v>
      </c>
    </row>
    <row r="61" spans="2:20" s="1330" customFormat="1" ht="13.5" customHeight="1">
      <c r="B61" s="1570">
        <v>19</v>
      </c>
      <c r="C61" s="1803"/>
      <c r="D61" s="2333"/>
      <c r="E61" s="2333"/>
      <c r="F61" s="2334"/>
      <c r="G61" s="2305">
        <v>0</v>
      </c>
      <c r="H61" s="2306"/>
      <c r="I61" s="2314">
        <v>0</v>
      </c>
      <c r="J61" s="2315"/>
      <c r="K61" s="2322">
        <f t="shared" si="16"/>
        <v>0</v>
      </c>
      <c r="L61" s="2314"/>
      <c r="M61" s="2311">
        <f t="shared" si="17"/>
        <v>0</v>
      </c>
      <c r="N61" s="2312"/>
      <c r="S61" s="1622">
        <f t="shared" si="18"/>
        <v>0</v>
      </c>
      <c r="T61" s="1330">
        <f t="shared" si="19"/>
        <v>0</v>
      </c>
    </row>
    <row r="62" spans="2:20" s="1330" customFormat="1" ht="13.5" customHeight="1">
      <c r="B62" s="1570">
        <v>20</v>
      </c>
      <c r="C62" s="1803"/>
      <c r="D62" s="2333"/>
      <c r="E62" s="2333"/>
      <c r="F62" s="2334"/>
      <c r="G62" s="2305">
        <v>0</v>
      </c>
      <c r="H62" s="2306"/>
      <c r="I62" s="2314">
        <v>0</v>
      </c>
      <c r="J62" s="2315"/>
      <c r="K62" s="2322">
        <f t="shared" ref="K62:K63" si="20">IF(G62&lt;&gt;"",I62-G62,0)</f>
        <v>0</v>
      </c>
      <c r="L62" s="2314"/>
      <c r="M62" s="2311">
        <f t="shared" ref="M62:M63" si="21">IF(AND(G62&lt;&gt;"",G62&gt;0),K62/G62,IF(AND(G62&lt;1,I62&gt;0),1,0))</f>
        <v>0</v>
      </c>
      <c r="N62" s="2312"/>
      <c r="S62" s="1622">
        <f t="shared" ref="S62:S63" si="22">IF(K62&lt;0,K62*-1,K62)</f>
        <v>0</v>
      </c>
      <c r="T62" s="1330">
        <f t="shared" ref="T62:T63" si="23">IF(AND(S62&gt;=$M$15,S62&gt;0),1,0)</f>
        <v>0</v>
      </c>
    </row>
    <row r="63" spans="2:20" s="1330" customFormat="1" ht="13.5" customHeight="1">
      <c r="B63" s="1569">
        <v>21</v>
      </c>
      <c r="C63" s="1803"/>
      <c r="D63" s="2333"/>
      <c r="E63" s="2333"/>
      <c r="F63" s="2334"/>
      <c r="G63" s="2305">
        <v>0</v>
      </c>
      <c r="H63" s="2306"/>
      <c r="I63" s="2314">
        <v>0</v>
      </c>
      <c r="J63" s="2315"/>
      <c r="K63" s="2322">
        <f t="shared" si="20"/>
        <v>0</v>
      </c>
      <c r="L63" s="2314"/>
      <c r="M63" s="2311">
        <f t="shared" si="21"/>
        <v>0</v>
      </c>
      <c r="N63" s="2312"/>
      <c r="S63" s="1622">
        <f t="shared" si="22"/>
        <v>0</v>
      </c>
      <c r="T63" s="1330">
        <f t="shared" si="23"/>
        <v>0</v>
      </c>
    </row>
    <row r="64" spans="2:20" s="1330" customFormat="1" ht="13.5" customHeight="1">
      <c r="B64" s="1570">
        <v>22</v>
      </c>
      <c r="C64" s="1803"/>
      <c r="D64" s="2333"/>
      <c r="E64" s="2333"/>
      <c r="F64" s="2334"/>
      <c r="G64" s="2305">
        <v>0</v>
      </c>
      <c r="H64" s="2306"/>
      <c r="I64" s="2314">
        <v>0</v>
      </c>
      <c r="J64" s="2315"/>
      <c r="K64" s="2322">
        <f t="shared" si="16"/>
        <v>0</v>
      </c>
      <c r="L64" s="2314"/>
      <c r="M64" s="2311">
        <f t="shared" si="17"/>
        <v>0</v>
      </c>
      <c r="N64" s="2312"/>
      <c r="S64" s="1622">
        <f t="shared" si="18"/>
        <v>0</v>
      </c>
      <c r="T64" s="1330">
        <f t="shared" si="19"/>
        <v>0</v>
      </c>
    </row>
    <row r="65" spans="2:20" s="1330" customFormat="1" ht="13.5" customHeight="1" thickBot="1">
      <c r="B65" s="1570">
        <v>23</v>
      </c>
      <c r="C65" s="1803"/>
      <c r="D65" s="2333"/>
      <c r="E65" s="2333"/>
      <c r="F65" s="2334"/>
      <c r="G65" s="2305">
        <v>0</v>
      </c>
      <c r="H65" s="2306"/>
      <c r="I65" s="2314">
        <v>0</v>
      </c>
      <c r="J65" s="2315"/>
      <c r="K65" s="2322">
        <f t="shared" si="16"/>
        <v>0</v>
      </c>
      <c r="L65" s="2314"/>
      <c r="M65" s="2311">
        <f t="shared" si="17"/>
        <v>0</v>
      </c>
      <c r="N65" s="2312"/>
      <c r="S65" s="1622">
        <f t="shared" si="18"/>
        <v>0</v>
      </c>
      <c r="T65" s="1330">
        <f t="shared" si="19"/>
        <v>0</v>
      </c>
    </row>
    <row r="66" spans="2:20" s="1330" customFormat="1" ht="13.5" customHeight="1" thickTop="1" thickBot="1">
      <c r="C66" s="2328" t="s">
        <v>796</v>
      </c>
      <c r="D66" s="2328"/>
      <c r="E66" s="2328"/>
      <c r="F66" s="2329"/>
      <c r="G66" s="2313">
        <f>ROUND(SUM(G43:H65),0)</f>
        <v>0</v>
      </c>
      <c r="H66" s="2308"/>
      <c r="I66" s="2308">
        <f>SUM(I43:J65)</f>
        <v>0</v>
      </c>
      <c r="J66" s="2308"/>
      <c r="K66" s="2308">
        <f>SUM(K43:L65)</f>
        <v>0</v>
      </c>
      <c r="L66" s="2308"/>
      <c r="M66" s="2309">
        <f t="shared" si="15"/>
        <v>0</v>
      </c>
      <c r="N66" s="2310"/>
      <c r="R66" s="1330">
        <f>COUNTIF(T43:T66,"&gt;0")</f>
        <v>0</v>
      </c>
      <c r="S66" s="1622">
        <f t="shared" si="12"/>
        <v>0</v>
      </c>
      <c r="T66" s="1330">
        <f t="shared" si="13"/>
        <v>0</v>
      </c>
    </row>
    <row r="67" spans="2:20" s="1330" customFormat="1" ht="15.75" customHeight="1" thickTop="1">
      <c r="C67" s="2303" t="str">
        <f>IF(R66&gt;0,"Please explain any variance of 5% of previous TDC or more in any line item above and/or total permanent sources since the previous submission:","")</f>
        <v/>
      </c>
      <c r="D67" s="2303"/>
      <c r="E67" s="2303"/>
      <c r="F67" s="2303"/>
      <c r="G67" s="2303"/>
      <c r="H67" s="2303"/>
      <c r="I67" s="2303"/>
      <c r="J67" s="2303"/>
      <c r="K67" s="2303"/>
      <c r="L67" s="2303"/>
      <c r="M67" s="2303"/>
      <c r="N67" s="1374"/>
      <c r="O67" s="1374"/>
      <c r="R67" s="1313">
        <f>COUNTIF(R66,"&gt;0")</f>
        <v>0</v>
      </c>
      <c r="S67" s="1313"/>
    </row>
    <row r="68" spans="2:20" s="1304" customFormat="1" ht="46.5" customHeight="1">
      <c r="B68" s="2340"/>
      <c r="C68" s="2340"/>
      <c r="D68" s="2340"/>
      <c r="E68" s="2340"/>
      <c r="F68" s="2340"/>
      <c r="G68" s="2340"/>
      <c r="H68" s="2340"/>
      <c r="I68" s="2340"/>
      <c r="J68" s="2340"/>
      <c r="K68" s="2340"/>
      <c r="L68" s="2340"/>
      <c r="M68" s="2340"/>
      <c r="N68" s="2340"/>
      <c r="O68" s="1372"/>
      <c r="R68" s="1313">
        <f>COUNTIF(B68,"")</f>
        <v>1</v>
      </c>
      <c r="S68" s="1313">
        <f>R66+R68</f>
        <v>1</v>
      </c>
    </row>
    <row r="69" spans="2:20" s="1330" customFormat="1" ht="6.75" customHeight="1">
      <c r="C69" s="1335"/>
      <c r="D69" s="1335"/>
      <c r="E69" s="1335"/>
      <c r="F69" s="1335"/>
      <c r="G69" s="1335"/>
      <c r="H69" s="1335"/>
      <c r="I69" s="1335"/>
      <c r="J69" s="1335"/>
      <c r="K69" s="1335"/>
      <c r="L69" s="1335"/>
      <c r="M69" s="1334"/>
      <c r="N69" s="1334"/>
    </row>
    <row r="70" spans="2:20" s="1330" customFormat="1" ht="4.5" customHeight="1">
      <c r="C70" s="2337"/>
      <c r="D70" s="2337"/>
      <c r="E70" s="2337"/>
      <c r="F70" s="2337"/>
      <c r="G70" s="2337"/>
      <c r="H70" s="2337"/>
      <c r="I70" s="2337"/>
      <c r="J70" s="2337"/>
      <c r="K70" s="2337"/>
      <c r="L70" s="2337"/>
      <c r="M70" s="2337"/>
      <c r="N70" s="1365"/>
    </row>
    <row r="71" spans="2:20" s="1375" customFormat="1" ht="19.5" customHeight="1">
      <c r="C71" s="2338" t="s">
        <v>1169</v>
      </c>
      <c r="D71" s="2338"/>
      <c r="E71" s="2338"/>
      <c r="F71" s="2338"/>
      <c r="G71" s="2338"/>
      <c r="H71" s="2338"/>
      <c r="I71" s="2338"/>
      <c r="J71" s="2338"/>
      <c r="K71" s="2338"/>
      <c r="L71" s="2338"/>
      <c r="M71" s="2338"/>
      <c r="N71" s="1376"/>
    </row>
    <row r="72" spans="2:20" s="1330" customFormat="1" ht="4.5" customHeight="1">
      <c r="C72" s="1336"/>
      <c r="D72" s="1336"/>
      <c r="E72" s="1336"/>
      <c r="F72" s="1336"/>
      <c r="G72" s="1336"/>
      <c r="H72" s="1336"/>
      <c r="I72" s="1336"/>
      <c r="J72" s="1336"/>
      <c r="K72" s="1336"/>
      <c r="L72" s="1336"/>
      <c r="M72" s="1366"/>
      <c r="N72" s="1366"/>
    </row>
    <row r="73" spans="2:20" s="1330" customFormat="1" ht="18.75" customHeight="1">
      <c r="C73" s="1352"/>
      <c r="D73" s="1352"/>
      <c r="E73" s="1352"/>
      <c r="F73" s="1352"/>
      <c r="G73" s="2318" t="s">
        <v>1165</v>
      </c>
      <c r="H73" s="2336"/>
      <c r="I73" s="2336" t="s">
        <v>1166</v>
      </c>
      <c r="J73" s="2336"/>
      <c r="K73" s="2336" t="s">
        <v>1167</v>
      </c>
      <c r="L73" s="2336"/>
      <c r="M73" s="2335" t="s">
        <v>1168</v>
      </c>
      <c r="N73" s="2320"/>
    </row>
    <row r="74" spans="2:20" s="1330" customFormat="1" ht="13.5" customHeight="1">
      <c r="C74" s="2339" t="s">
        <v>874</v>
      </c>
      <c r="D74" s="2339"/>
      <c r="E74" s="2339"/>
      <c r="F74" s="1377"/>
      <c r="G74" s="1338"/>
      <c r="H74" s="1338"/>
      <c r="I74" s="1340"/>
      <c r="J74" s="1340"/>
      <c r="K74" s="1340"/>
      <c r="L74" s="1340"/>
      <c r="M74" s="1340"/>
      <c r="N74" s="1340"/>
    </row>
    <row r="75" spans="2:20" s="1330" customFormat="1" ht="13.5" customHeight="1">
      <c r="C75" s="1858" t="s">
        <v>731</v>
      </c>
      <c r="D75" s="1858"/>
      <c r="E75" s="1858"/>
      <c r="F75" s="1354"/>
      <c r="G75" s="2331">
        <v>0</v>
      </c>
      <c r="H75" s="2332"/>
      <c r="I75" s="2341">
        <f>IF('A(2)-Uses Statement'!M19&gt;0,ROUND('A(2)-Uses Statement'!M19,0),0)</f>
        <v>0</v>
      </c>
      <c r="J75" s="2315"/>
      <c r="K75" s="2322">
        <f>IF(G75&lt;&gt;"",I75-G75,0)</f>
        <v>0</v>
      </c>
      <c r="L75" s="2314"/>
      <c r="M75" s="2311">
        <f>IF(AND(G75&lt;&gt;"",G75&gt;0),K75/G75,IF(AND(G75&lt;1,I75&gt;0),1,0))</f>
        <v>0</v>
      </c>
      <c r="N75" s="2312"/>
      <c r="S75" s="1622">
        <f t="shared" ref="S75:S84" si="24">IF(K75&lt;0,K75*-1,K75)</f>
        <v>0</v>
      </c>
      <c r="T75" s="1330">
        <f t="shared" ref="T75:T84" si="25">IF(AND(S75&gt;=$M$15,S75&gt;0),1,0)</f>
        <v>0</v>
      </c>
    </row>
    <row r="76" spans="2:20" s="1330" customFormat="1" ht="13.5" customHeight="1">
      <c r="C76" s="1858" t="s">
        <v>58</v>
      </c>
      <c r="D76" s="1858"/>
      <c r="E76" s="1858"/>
      <c r="F76" s="1354"/>
      <c r="G76" s="2331">
        <v>0</v>
      </c>
      <c r="H76" s="2332"/>
      <c r="I76" s="2341">
        <f>IF('A(2)-Uses Statement'!M20&gt;0,ROUND('A(2)-Uses Statement'!M20,0),0)</f>
        <v>0</v>
      </c>
      <c r="J76" s="2315"/>
      <c r="K76" s="2322">
        <f t="shared" ref="K76:K83" si="26">IF(G76&lt;&gt;"",I76-G76,0)</f>
        <v>0</v>
      </c>
      <c r="L76" s="2314"/>
      <c r="M76" s="2311">
        <f t="shared" ref="M76:M83" si="27">IF(AND(G76&lt;&gt;"",G76&gt;0),K76/G76,IF(AND(G76&lt;1,I76&gt;0),1,0))</f>
        <v>0</v>
      </c>
      <c r="N76" s="2312"/>
      <c r="S76" s="1622">
        <f t="shared" si="24"/>
        <v>0</v>
      </c>
      <c r="T76" s="1330">
        <f t="shared" si="25"/>
        <v>0</v>
      </c>
    </row>
    <row r="77" spans="2:20" s="1330" customFormat="1" ht="13.5" customHeight="1">
      <c r="C77" s="1858" t="s">
        <v>733</v>
      </c>
      <c r="D77" s="1858"/>
      <c r="E77" s="1858"/>
      <c r="F77" s="1354"/>
      <c r="G77" s="2331">
        <v>0</v>
      </c>
      <c r="H77" s="2332"/>
      <c r="I77" s="2341">
        <f>IF('A(2)-Uses Statement'!M21&gt;0,ROUND('A(2)-Uses Statement'!M21,0),0)</f>
        <v>0</v>
      </c>
      <c r="J77" s="2315"/>
      <c r="K77" s="2322">
        <f t="shared" si="26"/>
        <v>0</v>
      </c>
      <c r="L77" s="2314"/>
      <c r="M77" s="2311">
        <f t="shared" si="27"/>
        <v>0</v>
      </c>
      <c r="N77" s="2312"/>
      <c r="S77" s="1622">
        <f t="shared" si="24"/>
        <v>0</v>
      </c>
      <c r="T77" s="1330">
        <f t="shared" si="25"/>
        <v>0</v>
      </c>
    </row>
    <row r="78" spans="2:20" s="1330" customFormat="1" ht="13.5" customHeight="1">
      <c r="C78" s="1380" t="s">
        <v>814</v>
      </c>
      <c r="D78" s="2342" t="str">
        <f>IF('A(2)-Uses Statement'!C22&lt;&gt;"",'A(2)-Uses Statement'!C22,"")</f>
        <v/>
      </c>
      <c r="E78" s="2343"/>
      <c r="F78" s="1354"/>
      <c r="G78" s="2331">
        <v>0</v>
      </c>
      <c r="H78" s="2332"/>
      <c r="I78" s="2341">
        <f>IF('A(2)-Uses Statement'!M22&gt;0,ROUND('A(2)-Uses Statement'!M22,0),0)</f>
        <v>0</v>
      </c>
      <c r="J78" s="2315"/>
      <c r="K78" s="2322">
        <f t="shared" si="26"/>
        <v>0</v>
      </c>
      <c r="L78" s="2314"/>
      <c r="M78" s="2311">
        <f t="shared" si="27"/>
        <v>0</v>
      </c>
      <c r="N78" s="2312"/>
      <c r="S78" s="1622">
        <f t="shared" si="24"/>
        <v>0</v>
      </c>
      <c r="T78" s="1330">
        <f t="shared" si="25"/>
        <v>0</v>
      </c>
    </row>
    <row r="79" spans="2:20" s="1330" customFormat="1" ht="13.5" customHeight="1">
      <c r="C79" s="1379"/>
      <c r="D79" s="2342" t="str">
        <f>IF('A(2)-Uses Statement'!C23&lt;&gt;"",'A(2)-Uses Statement'!C23,"")</f>
        <v/>
      </c>
      <c r="E79" s="2343"/>
      <c r="F79" s="1354"/>
      <c r="G79" s="2331">
        <v>0</v>
      </c>
      <c r="H79" s="2332"/>
      <c r="I79" s="2341">
        <f>IF('A(2)-Uses Statement'!M23&gt;0,ROUND('A(2)-Uses Statement'!M23,0),0)</f>
        <v>0</v>
      </c>
      <c r="J79" s="2315"/>
      <c r="K79" s="2322">
        <f t="shared" si="26"/>
        <v>0</v>
      </c>
      <c r="L79" s="2314"/>
      <c r="M79" s="2311">
        <f t="shared" si="27"/>
        <v>0</v>
      </c>
      <c r="N79" s="2312"/>
      <c r="S79" s="1622">
        <f t="shared" si="24"/>
        <v>0</v>
      </c>
      <c r="T79" s="1330">
        <f t="shared" si="25"/>
        <v>0</v>
      </c>
    </row>
    <row r="80" spans="2:20" s="1330" customFormat="1" ht="13.5" customHeight="1">
      <c r="C80" s="1379"/>
      <c r="D80" s="2342" t="str">
        <f>IF('A(2)-Uses Statement'!C24&lt;&gt;"",'A(2)-Uses Statement'!C24,"")</f>
        <v/>
      </c>
      <c r="E80" s="2343"/>
      <c r="F80" s="1354"/>
      <c r="G80" s="2331">
        <v>0</v>
      </c>
      <c r="H80" s="2332"/>
      <c r="I80" s="2341">
        <f>IF('A(2)-Uses Statement'!M24&gt;0,ROUND('A(2)-Uses Statement'!M24,0),0)</f>
        <v>0</v>
      </c>
      <c r="J80" s="2315"/>
      <c r="K80" s="2322">
        <f t="shared" si="26"/>
        <v>0</v>
      </c>
      <c r="L80" s="2314"/>
      <c r="M80" s="2311">
        <f t="shared" si="27"/>
        <v>0</v>
      </c>
      <c r="N80" s="2312"/>
      <c r="S80" s="1622">
        <f t="shared" si="24"/>
        <v>0</v>
      </c>
      <c r="T80" s="1330">
        <f t="shared" si="25"/>
        <v>0</v>
      </c>
    </row>
    <row r="81" spans="3:20" s="1330" customFormat="1" ht="13.5" customHeight="1">
      <c r="C81" s="1379"/>
      <c r="D81" s="2342" t="str">
        <f>IF('A(2)-Uses Statement'!C25&lt;&gt;"",'A(2)-Uses Statement'!C25,"")</f>
        <v/>
      </c>
      <c r="E81" s="2343"/>
      <c r="F81" s="1354"/>
      <c r="G81" s="2331">
        <v>0</v>
      </c>
      <c r="H81" s="2332"/>
      <c r="I81" s="2341">
        <f>IF('A(2)-Uses Statement'!M25&gt;0,ROUND('A(2)-Uses Statement'!M25,0),0)</f>
        <v>0</v>
      </c>
      <c r="J81" s="2315"/>
      <c r="K81" s="2322">
        <f t="shared" si="26"/>
        <v>0</v>
      </c>
      <c r="L81" s="2314"/>
      <c r="M81" s="2311">
        <f t="shared" si="27"/>
        <v>0</v>
      </c>
      <c r="N81" s="2312"/>
      <c r="S81" s="1622">
        <f t="shared" si="24"/>
        <v>0</v>
      </c>
      <c r="T81" s="1330">
        <f t="shared" si="25"/>
        <v>0</v>
      </c>
    </row>
    <row r="82" spans="3:20" s="1330" customFormat="1" ht="13.5" customHeight="1">
      <c r="C82" s="1379"/>
      <c r="D82" s="2342" t="str">
        <f>IF('A(2)-Uses Statement'!C26&lt;&gt;"",'A(2)-Uses Statement'!C26,"")</f>
        <v/>
      </c>
      <c r="E82" s="2343"/>
      <c r="F82" s="1354"/>
      <c r="G82" s="2331">
        <v>0</v>
      </c>
      <c r="H82" s="2332"/>
      <c r="I82" s="2341">
        <f>IF('A(2)-Uses Statement'!M26&gt;0,ROUND('A(2)-Uses Statement'!M26,0),0)</f>
        <v>0</v>
      </c>
      <c r="J82" s="2315"/>
      <c r="K82" s="2322">
        <f t="shared" si="26"/>
        <v>0</v>
      </c>
      <c r="L82" s="2314"/>
      <c r="M82" s="2311">
        <f t="shared" si="27"/>
        <v>0</v>
      </c>
      <c r="N82" s="2312"/>
      <c r="S82" s="1622">
        <f t="shared" si="24"/>
        <v>0</v>
      </c>
      <c r="T82" s="1330">
        <f t="shared" si="25"/>
        <v>0</v>
      </c>
    </row>
    <row r="83" spans="3:20" s="1330" customFormat="1" ht="13.5" customHeight="1">
      <c r="C83" s="1379"/>
      <c r="D83" s="2342" t="str">
        <f>IF('A(2)-Uses Statement'!C27&lt;&gt;"",'A(2)-Uses Statement'!C27,"")</f>
        <v/>
      </c>
      <c r="E83" s="2343"/>
      <c r="F83" s="1354"/>
      <c r="G83" s="2331">
        <v>0</v>
      </c>
      <c r="H83" s="2332"/>
      <c r="I83" s="2341">
        <f>IF('A(2)-Uses Statement'!M27&gt;0,ROUND('A(2)-Uses Statement'!M27,0),0)</f>
        <v>0</v>
      </c>
      <c r="J83" s="2315"/>
      <c r="K83" s="2322">
        <f t="shared" si="26"/>
        <v>0</v>
      </c>
      <c r="L83" s="2314"/>
      <c r="M83" s="2311">
        <f t="shared" si="27"/>
        <v>0</v>
      </c>
      <c r="N83" s="2312"/>
      <c r="S83" s="1622">
        <f t="shared" si="24"/>
        <v>0</v>
      </c>
      <c r="T83" s="1330">
        <f t="shared" si="25"/>
        <v>0</v>
      </c>
    </row>
    <row r="84" spans="3:20" s="1330" customFormat="1" ht="13.5" customHeight="1">
      <c r="C84" s="1379"/>
      <c r="D84" s="2342" t="str">
        <f>IF('A(2)-Uses Statement'!C28&lt;&gt;"",'A(2)-Uses Statement'!C28,"")</f>
        <v/>
      </c>
      <c r="E84" s="2343"/>
      <c r="F84" s="1354"/>
      <c r="G84" s="2331">
        <v>0</v>
      </c>
      <c r="H84" s="2332"/>
      <c r="I84" s="2341">
        <f>IF('A(2)-Uses Statement'!M28&gt;0,ROUND('A(2)-Uses Statement'!M28,0),0)</f>
        <v>0</v>
      </c>
      <c r="J84" s="2315"/>
      <c r="K84" s="2322">
        <f t="shared" ref="K84:K87" si="28">IF(G84&lt;&gt;"",I84-G84,0)</f>
        <v>0</v>
      </c>
      <c r="L84" s="2314"/>
      <c r="M84" s="2311">
        <f t="shared" ref="M84:M87" si="29">IF(AND(G84&lt;&gt;"",G84&gt;0),K84/G84,IF(AND(G84&lt;1,I84&gt;0),1,0))</f>
        <v>0</v>
      </c>
      <c r="N84" s="2312"/>
      <c r="S84" s="1622">
        <f t="shared" si="24"/>
        <v>0</v>
      </c>
      <c r="T84" s="1330">
        <f t="shared" si="25"/>
        <v>0</v>
      </c>
    </row>
    <row r="85" spans="3:20" s="1330" customFormat="1" ht="13.5" customHeight="1">
      <c r="C85" s="1379"/>
      <c r="D85" s="2359"/>
      <c r="E85" s="2360"/>
      <c r="F85" s="1354"/>
      <c r="G85" s="2331">
        <v>0</v>
      </c>
      <c r="H85" s="2332"/>
      <c r="I85" s="2341">
        <v>0</v>
      </c>
      <c r="J85" s="2315"/>
      <c r="K85" s="2322">
        <f t="shared" si="28"/>
        <v>0</v>
      </c>
      <c r="L85" s="2314"/>
      <c r="M85" s="2311">
        <f t="shared" si="29"/>
        <v>0</v>
      </c>
      <c r="N85" s="2312"/>
      <c r="S85" s="1622">
        <f t="shared" ref="S85:S87" si="30">IF(K85&lt;0,K85*-1,K85)</f>
        <v>0</v>
      </c>
      <c r="T85" s="1330">
        <f t="shared" ref="T85:T87" si="31">IF(AND(S85&gt;=$M$15,S85&gt;0),1,0)</f>
        <v>0</v>
      </c>
    </row>
    <row r="86" spans="3:20" s="1330" customFormat="1" ht="13.5" customHeight="1">
      <c r="C86" s="1379"/>
      <c r="D86" s="2359"/>
      <c r="E86" s="2360"/>
      <c r="F86" s="1354"/>
      <c r="G86" s="2331">
        <v>0</v>
      </c>
      <c r="H86" s="2332"/>
      <c r="I86" s="2341">
        <v>0</v>
      </c>
      <c r="J86" s="2315"/>
      <c r="K86" s="2322">
        <f t="shared" si="28"/>
        <v>0</v>
      </c>
      <c r="L86" s="2314"/>
      <c r="M86" s="2311">
        <f t="shared" si="29"/>
        <v>0</v>
      </c>
      <c r="N86" s="2312"/>
      <c r="S86" s="1622">
        <f t="shared" si="30"/>
        <v>0</v>
      </c>
      <c r="T86" s="1330">
        <f t="shared" si="31"/>
        <v>0</v>
      </c>
    </row>
    <row r="87" spans="3:20" s="1330" customFormat="1" ht="13.5" customHeight="1" thickBot="1">
      <c r="C87" s="1379"/>
      <c r="D87" s="2359"/>
      <c r="E87" s="2360"/>
      <c r="F87" s="1354"/>
      <c r="G87" s="2331">
        <v>0</v>
      </c>
      <c r="H87" s="2332"/>
      <c r="I87" s="2341">
        <v>0</v>
      </c>
      <c r="J87" s="2315"/>
      <c r="K87" s="2322">
        <f t="shared" si="28"/>
        <v>0</v>
      </c>
      <c r="L87" s="2314"/>
      <c r="M87" s="2311">
        <f t="shared" si="29"/>
        <v>0</v>
      </c>
      <c r="N87" s="2312"/>
      <c r="S87" s="1622">
        <f t="shared" si="30"/>
        <v>0</v>
      </c>
      <c r="T87" s="1330">
        <f t="shared" si="31"/>
        <v>0</v>
      </c>
    </row>
    <row r="88" spans="3:20" s="1304" customFormat="1" ht="13.5" customHeight="1" thickTop="1" thickBot="1">
      <c r="C88" s="2344" t="s">
        <v>751</v>
      </c>
      <c r="D88" s="2344"/>
      <c r="E88" s="2344"/>
      <c r="F88" s="1337"/>
      <c r="G88" s="2313">
        <f>ROUND(SUM(G75:H87),0)</f>
        <v>0</v>
      </c>
      <c r="H88" s="2308"/>
      <c r="I88" s="2308">
        <f>SUM(I75:J87)</f>
        <v>0</v>
      </c>
      <c r="J88" s="2308"/>
      <c r="K88" s="2308">
        <f>SUM(K75:L87)</f>
        <v>0</v>
      </c>
      <c r="L88" s="2308"/>
      <c r="M88" s="2309">
        <f>IF(AND(G88&lt;&gt;"",G88&gt;0),K88/G88,IF(AND(G88&lt;1,I88&gt;0),1,0))</f>
        <v>0</v>
      </c>
      <c r="N88" s="2310"/>
      <c r="S88" s="1331"/>
    </row>
    <row r="89" spans="3:20" customFormat="1" ht="13.5" customHeight="1" thickTop="1"/>
    <row r="90" spans="3:20" s="1330" customFormat="1" ht="13.5" customHeight="1">
      <c r="C90" s="2339" t="s">
        <v>875</v>
      </c>
      <c r="D90" s="2339"/>
      <c r="E90" s="2339"/>
      <c r="F90" s="1340"/>
      <c r="G90" s="1340"/>
      <c r="H90" s="1340"/>
      <c r="I90" s="1340"/>
      <c r="J90" s="1340"/>
      <c r="K90" s="1340"/>
      <c r="L90" s="1340"/>
      <c r="M90" s="1340"/>
      <c r="N90" s="1340"/>
      <c r="S90" s="1622">
        <f t="shared" ref="S90:S97" si="32">IF(K90&lt;0,K90*-1,K90)</f>
        <v>0</v>
      </c>
      <c r="T90" s="1330">
        <f t="shared" ref="T90:T97" si="33">IF(AND(S90&gt;=$M$15,S90&gt;0),1,0)</f>
        <v>0</v>
      </c>
    </row>
    <row r="91" spans="3:20" s="1330" customFormat="1" ht="13.5" customHeight="1">
      <c r="C91" s="1858" t="s">
        <v>725</v>
      </c>
      <c r="D91" s="1858"/>
      <c r="E91" s="1858"/>
      <c r="F91" s="1350"/>
      <c r="G91" s="2331">
        <v>0</v>
      </c>
      <c r="H91" s="2332"/>
      <c r="I91" s="2341">
        <f>IF('A(2)-Uses Statement'!M32&gt;0,ROUND('A(2)-Uses Statement'!M32,0),0)</f>
        <v>0</v>
      </c>
      <c r="J91" s="2315"/>
      <c r="K91" s="2351">
        <f t="shared" ref="K91:K97" si="34">I91-G91</f>
        <v>0</v>
      </c>
      <c r="L91" s="2352"/>
      <c r="M91" s="2353">
        <f>IF(AND(G91&lt;&gt;"",G91&gt;0),K91/G91,IF(AND(G91&lt;1,I91&gt;0),1,0))</f>
        <v>0</v>
      </c>
      <c r="N91" s="2354"/>
      <c r="S91" s="1622">
        <f t="shared" si="32"/>
        <v>0</v>
      </c>
      <c r="T91" s="1330">
        <f t="shared" si="33"/>
        <v>0</v>
      </c>
    </row>
    <row r="92" spans="3:20" s="1330" customFormat="1" ht="13.5" customHeight="1">
      <c r="C92" s="1858" t="s">
        <v>726</v>
      </c>
      <c r="D92" s="1858"/>
      <c r="E92" s="1858"/>
      <c r="F92" s="1350"/>
      <c r="G92" s="2331">
        <v>0</v>
      </c>
      <c r="H92" s="2332"/>
      <c r="I92" s="2341">
        <f>IF('A(2)-Uses Statement'!M33&gt;0,ROUND('A(2)-Uses Statement'!M33,0),0)</f>
        <v>0</v>
      </c>
      <c r="J92" s="2315"/>
      <c r="K92" s="2322">
        <f t="shared" si="34"/>
        <v>0</v>
      </c>
      <c r="L92" s="2314"/>
      <c r="M92" s="2311">
        <f t="shared" ref="M92:M97" si="35">IF(AND(G92&lt;&gt;"",G92&gt;0),K92/G92,IF(AND(G92&lt;1,I92&gt;0),1,0))</f>
        <v>0</v>
      </c>
      <c r="N92" s="2312"/>
      <c r="S92" s="1622">
        <f t="shared" si="32"/>
        <v>0</v>
      </c>
      <c r="T92" s="1330">
        <f t="shared" si="33"/>
        <v>0</v>
      </c>
    </row>
    <row r="93" spans="3:20" s="1330" customFormat="1" ht="13.5" customHeight="1">
      <c r="C93" s="1858" t="s">
        <v>719</v>
      </c>
      <c r="D93" s="1858"/>
      <c r="E93" s="1858"/>
      <c r="F93" s="1350"/>
      <c r="G93" s="2331">
        <v>0</v>
      </c>
      <c r="H93" s="2332"/>
      <c r="I93" s="2341">
        <f>IF('A(2)-Uses Statement'!M34&gt;0,ROUND('A(2)-Uses Statement'!M34,0),0)</f>
        <v>0</v>
      </c>
      <c r="J93" s="2315"/>
      <c r="K93" s="2322">
        <f>I93-G93</f>
        <v>0</v>
      </c>
      <c r="L93" s="2314"/>
      <c r="M93" s="2311">
        <f t="shared" si="35"/>
        <v>0</v>
      </c>
      <c r="N93" s="2312"/>
      <c r="S93" s="1622">
        <f t="shared" si="32"/>
        <v>0</v>
      </c>
      <c r="T93" s="1330">
        <f t="shared" si="33"/>
        <v>0</v>
      </c>
    </row>
    <row r="94" spans="3:20" s="1330" customFormat="1" ht="13.5" customHeight="1">
      <c r="C94" s="1858" t="s">
        <v>734</v>
      </c>
      <c r="D94" s="1858"/>
      <c r="E94" s="1858"/>
      <c r="F94" s="1350"/>
      <c r="G94" s="2331">
        <v>0</v>
      </c>
      <c r="H94" s="2332"/>
      <c r="I94" s="2341">
        <f>IF('A(2)-Uses Statement'!M35&gt;0,ROUND('A(2)-Uses Statement'!M35,0),0)</f>
        <v>0</v>
      </c>
      <c r="J94" s="2315"/>
      <c r="K94" s="2322">
        <f t="shared" si="34"/>
        <v>0</v>
      </c>
      <c r="L94" s="2314"/>
      <c r="M94" s="2311">
        <f t="shared" si="35"/>
        <v>0</v>
      </c>
      <c r="N94" s="2312"/>
      <c r="S94" s="1622">
        <f t="shared" si="32"/>
        <v>0</v>
      </c>
      <c r="T94" s="1330">
        <f t="shared" si="33"/>
        <v>0</v>
      </c>
    </row>
    <row r="95" spans="3:20" s="1330" customFormat="1" ht="13.5" customHeight="1">
      <c r="C95" s="1858" t="s">
        <v>735</v>
      </c>
      <c r="D95" s="1858"/>
      <c r="E95" s="1858"/>
      <c r="F95" s="1339"/>
      <c r="G95" s="2331">
        <v>0</v>
      </c>
      <c r="H95" s="2332"/>
      <c r="I95" s="2341">
        <f>IF('A(2)-Uses Statement'!M36&gt;0,ROUND('A(2)-Uses Statement'!M36,0),0)</f>
        <v>0</v>
      </c>
      <c r="J95" s="2315"/>
      <c r="K95" s="2322">
        <f t="shared" si="34"/>
        <v>0</v>
      </c>
      <c r="L95" s="2314"/>
      <c r="M95" s="2311">
        <f t="shared" si="35"/>
        <v>0</v>
      </c>
      <c r="N95" s="2312"/>
      <c r="S95" s="1622">
        <f t="shared" si="32"/>
        <v>0</v>
      </c>
      <c r="T95" s="1330">
        <f t="shared" si="33"/>
        <v>0</v>
      </c>
    </row>
    <row r="96" spans="3:20" s="1330" customFormat="1" ht="13.5" customHeight="1">
      <c r="C96" s="1858" t="s">
        <v>736</v>
      </c>
      <c r="D96" s="1858"/>
      <c r="E96" s="1858"/>
      <c r="F96" s="1339"/>
      <c r="G96" s="2331">
        <v>0</v>
      </c>
      <c r="H96" s="2332"/>
      <c r="I96" s="2341">
        <f>IF('A(2)-Uses Statement'!M37&gt;0,ROUND('A(2)-Uses Statement'!M37,0),0)</f>
        <v>0</v>
      </c>
      <c r="J96" s="2315"/>
      <c r="K96" s="2322">
        <f t="shared" si="34"/>
        <v>0</v>
      </c>
      <c r="L96" s="2314"/>
      <c r="M96" s="2311">
        <f t="shared" si="35"/>
        <v>0</v>
      </c>
      <c r="N96" s="2312"/>
      <c r="S96" s="1622">
        <f t="shared" si="32"/>
        <v>0</v>
      </c>
      <c r="T96" s="1330">
        <f t="shared" si="33"/>
        <v>0</v>
      </c>
    </row>
    <row r="97" spans="3:20" s="1330" customFormat="1" ht="13.5" customHeight="1" thickBot="1">
      <c r="C97" s="1858" t="s">
        <v>136</v>
      </c>
      <c r="D97" s="1858"/>
      <c r="E97" s="1858"/>
      <c r="F97" s="1339"/>
      <c r="G97" s="2345">
        <v>0</v>
      </c>
      <c r="H97" s="2346"/>
      <c r="I97" s="2347">
        <f>IF('A(2)-Uses Statement'!M38&gt;0,ROUND('A(2)-Uses Statement'!M38,0),0)</f>
        <v>0</v>
      </c>
      <c r="J97" s="2348"/>
      <c r="K97" s="2355">
        <f t="shared" si="34"/>
        <v>0</v>
      </c>
      <c r="L97" s="2356"/>
      <c r="M97" s="2357">
        <f t="shared" si="35"/>
        <v>0</v>
      </c>
      <c r="N97" s="2358"/>
      <c r="S97" s="1622">
        <f t="shared" si="32"/>
        <v>0</v>
      </c>
      <c r="T97" s="1330">
        <f t="shared" si="33"/>
        <v>0</v>
      </c>
    </row>
    <row r="98" spans="3:20" s="1330" customFormat="1" ht="13.5" customHeight="1" thickTop="1" thickBot="1">
      <c r="C98" s="2344" t="s">
        <v>737</v>
      </c>
      <c r="D98" s="2344"/>
      <c r="E98" s="2344"/>
      <c r="F98" s="1339"/>
      <c r="G98" s="2313">
        <f>ROUND(SUM(G91:H97),0)</f>
        <v>0</v>
      </c>
      <c r="H98" s="2308"/>
      <c r="I98" s="2308">
        <f>SUM(I91:J97)</f>
        <v>0</v>
      </c>
      <c r="J98" s="2308"/>
      <c r="K98" s="2308">
        <f>SUM(K91:L97)</f>
        <v>0</v>
      </c>
      <c r="L98" s="2308"/>
      <c r="M98" s="2309">
        <f>IF(AND(G98&lt;&gt;"",G98&gt;0),K98/G98,IF(AND(G98&lt;1,I98&gt;0),1,0))</f>
        <v>0</v>
      </c>
      <c r="N98" s="2310"/>
      <c r="S98" s="1331"/>
    </row>
    <row r="99" spans="3:20" customFormat="1" ht="13.5" customHeight="1" thickTop="1">
      <c r="M99" s="1381"/>
    </row>
    <row r="100" spans="3:20" s="1330" customFormat="1" ht="13.5" customHeight="1">
      <c r="C100" s="2339" t="s">
        <v>877</v>
      </c>
      <c r="D100" s="2339"/>
      <c r="E100" s="2339"/>
      <c r="F100" s="1340"/>
      <c r="G100" s="1340"/>
      <c r="H100" s="1340"/>
      <c r="I100" s="1340"/>
      <c r="J100" s="1340"/>
      <c r="K100" s="1340"/>
      <c r="L100" s="1340"/>
      <c r="M100" s="1340"/>
      <c r="N100" s="1340"/>
      <c r="S100" s="1622">
        <f t="shared" ref="S100:S112" si="36">IF(K100&lt;0,K100*-1,K100)</f>
        <v>0</v>
      </c>
      <c r="T100" s="1330">
        <f t="shared" ref="T100:T112" si="37">IF(AND(S100&gt;=$M$15,S100&gt;0),1,0)</f>
        <v>0</v>
      </c>
    </row>
    <row r="101" spans="3:20" s="1330" customFormat="1" ht="13.5" customHeight="1">
      <c r="C101" s="1858" t="s">
        <v>34</v>
      </c>
      <c r="D101" s="1858"/>
      <c r="E101" s="1858"/>
      <c r="F101" s="1341"/>
      <c r="G101" s="2305">
        <v>0</v>
      </c>
      <c r="H101" s="2306"/>
      <c r="I101" s="2341">
        <f>IF('A(2)-Uses Statement'!M42&gt;0,ROUND('A(2)-Uses Statement'!M42,0),0)</f>
        <v>0</v>
      </c>
      <c r="J101" s="2315"/>
      <c r="K101" s="2350">
        <f t="shared" ref="K101" si="38">I101-G101</f>
        <v>0</v>
      </c>
      <c r="L101" s="2350"/>
      <c r="M101" s="2349">
        <f>IF(AND(G101&lt;&gt;"",G101&gt;0),K101/G101,IF(AND(G101&lt;1,I101&gt;0),1,0))</f>
        <v>0</v>
      </c>
      <c r="N101" s="2349"/>
      <c r="S101" s="1622">
        <f t="shared" si="36"/>
        <v>0</v>
      </c>
      <c r="T101" s="1330">
        <f t="shared" si="37"/>
        <v>0</v>
      </c>
    </row>
    <row r="102" spans="3:20" s="1330" customFormat="1" ht="13.5" customHeight="1">
      <c r="C102" s="1858" t="s">
        <v>738</v>
      </c>
      <c r="D102" s="1858"/>
      <c r="E102" s="1858"/>
      <c r="F102" s="1341"/>
      <c r="G102" s="2305">
        <v>0</v>
      </c>
      <c r="H102" s="2306"/>
      <c r="I102" s="2341">
        <f>IF('A(2)-Uses Statement'!M43&gt;0,ROUND('A(2)-Uses Statement'!M43,0),0)</f>
        <v>0</v>
      </c>
      <c r="J102" s="2315"/>
      <c r="K102" s="2350">
        <f t="shared" ref="K102:K112" si="39">I102-G102</f>
        <v>0</v>
      </c>
      <c r="L102" s="2350"/>
      <c r="M102" s="2349">
        <f t="shared" ref="M102:M115" si="40">IF(AND(G102&lt;&gt;"",G102&gt;0),K102/G102,IF(AND(G102&lt;1,I102&gt;0),1,0))</f>
        <v>0</v>
      </c>
      <c r="N102" s="2349"/>
      <c r="S102" s="1622">
        <f t="shared" si="36"/>
        <v>0</v>
      </c>
      <c r="T102" s="1330">
        <f t="shared" si="37"/>
        <v>0</v>
      </c>
    </row>
    <row r="103" spans="3:20" s="1330" customFormat="1" ht="13.5" customHeight="1">
      <c r="C103" s="1858" t="s">
        <v>739</v>
      </c>
      <c r="D103" s="1858"/>
      <c r="E103" s="1858"/>
      <c r="F103" s="1341"/>
      <c r="G103" s="2305">
        <v>0</v>
      </c>
      <c r="H103" s="2306"/>
      <c r="I103" s="2341">
        <f>IF('A(2)-Uses Statement'!M44&gt;0,ROUND('A(2)-Uses Statement'!M44,0),0)</f>
        <v>0</v>
      </c>
      <c r="J103" s="2315"/>
      <c r="K103" s="2350">
        <f t="shared" si="39"/>
        <v>0</v>
      </c>
      <c r="L103" s="2350"/>
      <c r="M103" s="2349">
        <f t="shared" si="40"/>
        <v>0</v>
      </c>
      <c r="N103" s="2349"/>
      <c r="S103" s="1622">
        <f t="shared" si="36"/>
        <v>0</v>
      </c>
      <c r="T103" s="1330">
        <f t="shared" si="37"/>
        <v>0</v>
      </c>
    </row>
    <row r="104" spans="3:20" s="1330" customFormat="1" ht="13.5" customHeight="1">
      <c r="C104" s="1858" t="s">
        <v>742</v>
      </c>
      <c r="D104" s="1858"/>
      <c r="E104" s="1858"/>
      <c r="F104" s="1341"/>
      <c r="G104" s="2305">
        <v>0</v>
      </c>
      <c r="H104" s="2306"/>
      <c r="I104" s="2341">
        <f>IF('A(2)-Uses Statement'!M45&gt;0,ROUND('A(2)-Uses Statement'!M45,0),0)</f>
        <v>0</v>
      </c>
      <c r="J104" s="2315"/>
      <c r="K104" s="2350">
        <f t="shared" si="39"/>
        <v>0</v>
      </c>
      <c r="L104" s="2350"/>
      <c r="M104" s="2349">
        <f t="shared" si="40"/>
        <v>0</v>
      </c>
      <c r="N104" s="2349"/>
      <c r="S104" s="1622">
        <f t="shared" si="36"/>
        <v>0</v>
      </c>
      <c r="T104" s="1330">
        <f t="shared" si="37"/>
        <v>0</v>
      </c>
    </row>
    <row r="105" spans="3:20" s="1330" customFormat="1" ht="13.5" customHeight="1">
      <c r="C105" s="1858" t="s">
        <v>35</v>
      </c>
      <c r="D105" s="1858"/>
      <c r="E105" s="1858"/>
      <c r="F105" s="1341"/>
      <c r="G105" s="2305">
        <v>0</v>
      </c>
      <c r="H105" s="2306"/>
      <c r="I105" s="2341">
        <f>IF('A(2)-Uses Statement'!M46&gt;0,ROUND('A(2)-Uses Statement'!M46,0),0)</f>
        <v>0</v>
      </c>
      <c r="J105" s="2315"/>
      <c r="K105" s="2350">
        <f t="shared" si="39"/>
        <v>0</v>
      </c>
      <c r="L105" s="2350"/>
      <c r="M105" s="2349">
        <f t="shared" si="40"/>
        <v>0</v>
      </c>
      <c r="N105" s="2349"/>
      <c r="S105" s="1622">
        <f t="shared" si="36"/>
        <v>0</v>
      </c>
      <c r="T105" s="1330">
        <f t="shared" si="37"/>
        <v>0</v>
      </c>
    </row>
    <row r="106" spans="3:20" s="1330" customFormat="1" ht="13.5" customHeight="1">
      <c r="C106" s="1380" t="s">
        <v>814</v>
      </c>
      <c r="D106" s="2342" t="str">
        <f>IF('A(2)-Uses Statement'!C47&lt;&gt;"",'A(2)-Uses Statement'!C47,"")</f>
        <v/>
      </c>
      <c r="E106" s="2343"/>
      <c r="F106" s="1341"/>
      <c r="G106" s="2305">
        <v>0</v>
      </c>
      <c r="H106" s="2306"/>
      <c r="I106" s="2341">
        <f>IF('A(2)-Uses Statement'!M47&gt;0,ROUND('A(2)-Uses Statement'!M47,0),0)</f>
        <v>0</v>
      </c>
      <c r="J106" s="2315"/>
      <c r="K106" s="2350">
        <f t="shared" si="39"/>
        <v>0</v>
      </c>
      <c r="L106" s="2350"/>
      <c r="M106" s="2349">
        <f t="shared" si="40"/>
        <v>0</v>
      </c>
      <c r="N106" s="2349"/>
      <c r="S106" s="1622">
        <f t="shared" si="36"/>
        <v>0</v>
      </c>
      <c r="T106" s="1330">
        <f t="shared" si="37"/>
        <v>0</v>
      </c>
    </row>
    <row r="107" spans="3:20" s="1330" customFormat="1" ht="13.5" customHeight="1">
      <c r="C107" s="1303"/>
      <c r="D107" s="2342" t="str">
        <f>IF('A(2)-Uses Statement'!C48&lt;&gt;"",'A(2)-Uses Statement'!C48,"")</f>
        <v/>
      </c>
      <c r="E107" s="2343"/>
      <c r="F107" s="1341"/>
      <c r="G107" s="2305">
        <v>0</v>
      </c>
      <c r="H107" s="2306"/>
      <c r="I107" s="2341">
        <f>IF('A(2)-Uses Statement'!M48&gt;0,ROUND('A(2)-Uses Statement'!M48,0),0)</f>
        <v>0</v>
      </c>
      <c r="J107" s="2315"/>
      <c r="K107" s="2350">
        <f t="shared" si="39"/>
        <v>0</v>
      </c>
      <c r="L107" s="2350"/>
      <c r="M107" s="2349">
        <f t="shared" si="40"/>
        <v>0</v>
      </c>
      <c r="N107" s="2349"/>
      <c r="S107" s="1622">
        <f t="shared" si="36"/>
        <v>0</v>
      </c>
      <c r="T107" s="1330">
        <f t="shared" si="37"/>
        <v>0</v>
      </c>
    </row>
    <row r="108" spans="3:20" s="1330" customFormat="1" ht="13.5" customHeight="1">
      <c r="C108" s="1303"/>
      <c r="D108" s="2342" t="str">
        <f>IF('A(2)-Uses Statement'!C49&lt;&gt;"",'A(2)-Uses Statement'!C49,"")</f>
        <v/>
      </c>
      <c r="E108" s="2343"/>
      <c r="F108" s="1341"/>
      <c r="G108" s="2305">
        <v>0</v>
      </c>
      <c r="H108" s="2306"/>
      <c r="I108" s="2341">
        <f>IF('A(2)-Uses Statement'!M49&gt;0,ROUND('A(2)-Uses Statement'!M49,0),0)</f>
        <v>0</v>
      </c>
      <c r="J108" s="2315"/>
      <c r="K108" s="2350">
        <f t="shared" si="39"/>
        <v>0</v>
      </c>
      <c r="L108" s="2350"/>
      <c r="M108" s="2349">
        <f t="shared" si="40"/>
        <v>0</v>
      </c>
      <c r="N108" s="2349"/>
      <c r="S108" s="1622">
        <f t="shared" si="36"/>
        <v>0</v>
      </c>
      <c r="T108" s="1330">
        <f t="shared" si="37"/>
        <v>0</v>
      </c>
    </row>
    <row r="109" spans="3:20" s="1330" customFormat="1" ht="13.5" customHeight="1">
      <c r="C109" s="1303"/>
      <c r="D109" s="2342" t="str">
        <f>IF('A(2)-Uses Statement'!C50&lt;&gt;"",'A(2)-Uses Statement'!C50,"")</f>
        <v/>
      </c>
      <c r="E109" s="2343"/>
      <c r="F109" s="1341"/>
      <c r="G109" s="2305">
        <v>0</v>
      </c>
      <c r="H109" s="2306"/>
      <c r="I109" s="2341">
        <f>IF('A(2)-Uses Statement'!M50&gt;0,ROUND('A(2)-Uses Statement'!M50,0),0)</f>
        <v>0</v>
      </c>
      <c r="J109" s="2315"/>
      <c r="K109" s="2350">
        <f t="shared" si="39"/>
        <v>0</v>
      </c>
      <c r="L109" s="2350"/>
      <c r="M109" s="2349">
        <f t="shared" si="40"/>
        <v>0</v>
      </c>
      <c r="N109" s="2349"/>
      <c r="S109" s="1622">
        <f t="shared" si="36"/>
        <v>0</v>
      </c>
      <c r="T109" s="1330">
        <f t="shared" si="37"/>
        <v>0</v>
      </c>
    </row>
    <row r="110" spans="3:20" s="1330" customFormat="1" ht="13.5" customHeight="1">
      <c r="C110" s="1363"/>
      <c r="D110" s="2342" t="str">
        <f>IF('A(2)-Uses Statement'!C51&lt;&gt;"",'A(2)-Uses Statement'!C51,"")</f>
        <v/>
      </c>
      <c r="E110" s="2343"/>
      <c r="F110" s="1341"/>
      <c r="G110" s="2305">
        <v>0</v>
      </c>
      <c r="H110" s="2306"/>
      <c r="I110" s="2341">
        <f>IF('A(2)-Uses Statement'!M51&gt;0,ROUND('A(2)-Uses Statement'!M51,0),0)</f>
        <v>0</v>
      </c>
      <c r="J110" s="2315"/>
      <c r="K110" s="2350">
        <f t="shared" si="39"/>
        <v>0</v>
      </c>
      <c r="L110" s="2350"/>
      <c r="M110" s="2349">
        <f t="shared" si="40"/>
        <v>0</v>
      </c>
      <c r="N110" s="2349"/>
      <c r="S110" s="1622">
        <f t="shared" si="36"/>
        <v>0</v>
      </c>
      <c r="T110" s="1330">
        <f t="shared" si="37"/>
        <v>0</v>
      </c>
    </row>
    <row r="111" spans="3:20" s="1330" customFormat="1" ht="13.5" customHeight="1">
      <c r="C111" s="1363"/>
      <c r="D111" s="2342" t="str">
        <f>IF('A(2)-Uses Statement'!C52&lt;&gt;"",'A(2)-Uses Statement'!C52,"")</f>
        <v/>
      </c>
      <c r="E111" s="2343"/>
      <c r="F111" s="1341"/>
      <c r="G111" s="2305">
        <v>0</v>
      </c>
      <c r="H111" s="2306"/>
      <c r="I111" s="2341">
        <f>IF('A(2)-Uses Statement'!M52&gt;0,ROUND('A(2)-Uses Statement'!M52,0),0)</f>
        <v>0</v>
      </c>
      <c r="J111" s="2315"/>
      <c r="K111" s="2350">
        <f t="shared" si="39"/>
        <v>0</v>
      </c>
      <c r="L111" s="2350"/>
      <c r="M111" s="2349">
        <f t="shared" si="40"/>
        <v>0</v>
      </c>
      <c r="N111" s="2349"/>
      <c r="S111" s="1622">
        <f t="shared" si="36"/>
        <v>0</v>
      </c>
      <c r="T111" s="1330">
        <f t="shared" si="37"/>
        <v>0</v>
      </c>
    </row>
    <row r="112" spans="3:20" s="1330" customFormat="1" ht="13.5" customHeight="1">
      <c r="C112" s="1363"/>
      <c r="D112" s="2342" t="str">
        <f>IF('A(2)-Uses Statement'!C53&lt;&gt;"",'A(2)-Uses Statement'!C53,"")</f>
        <v/>
      </c>
      <c r="E112" s="2343"/>
      <c r="F112" s="1341"/>
      <c r="G112" s="2305">
        <v>0</v>
      </c>
      <c r="H112" s="2306"/>
      <c r="I112" s="2341">
        <f>IF('A(2)-Uses Statement'!M53&gt;0,ROUND('A(2)-Uses Statement'!M53,0),0)</f>
        <v>0</v>
      </c>
      <c r="J112" s="2315"/>
      <c r="K112" s="2350">
        <f t="shared" si="39"/>
        <v>0</v>
      </c>
      <c r="L112" s="2350"/>
      <c r="M112" s="2349">
        <f t="shared" si="40"/>
        <v>0</v>
      </c>
      <c r="N112" s="2349"/>
      <c r="S112" s="1622">
        <f t="shared" si="36"/>
        <v>0</v>
      </c>
      <c r="T112" s="1330">
        <f t="shared" si="37"/>
        <v>0</v>
      </c>
    </row>
    <row r="113" spans="3:20" s="1330" customFormat="1" ht="13.5" customHeight="1">
      <c r="C113" s="1363"/>
      <c r="D113" s="2359"/>
      <c r="E113" s="2360"/>
      <c r="F113" s="1354"/>
      <c r="G113" s="2331">
        <v>0</v>
      </c>
      <c r="H113" s="2332"/>
      <c r="I113" s="2341">
        <v>0</v>
      </c>
      <c r="J113" s="2315"/>
      <c r="K113" s="2322">
        <f t="shared" ref="K113:K115" si="41">IF(G113&lt;&gt;"",I113-G113,0)</f>
        <v>0</v>
      </c>
      <c r="L113" s="2314"/>
      <c r="M113" s="2311">
        <f t="shared" si="40"/>
        <v>0</v>
      </c>
      <c r="N113" s="2312"/>
      <c r="S113" s="1622">
        <f t="shared" ref="S113:S115" si="42">IF(K113&lt;0,K113*-1,K113)</f>
        <v>0</v>
      </c>
      <c r="T113" s="1330">
        <f t="shared" ref="T113:T115" si="43">IF(AND(S113&gt;=$M$15,S113&gt;0),1,0)</f>
        <v>0</v>
      </c>
    </row>
    <row r="114" spans="3:20" s="1330" customFormat="1" ht="13.5" customHeight="1">
      <c r="C114" s="1363"/>
      <c r="D114" s="2359"/>
      <c r="E114" s="2360"/>
      <c r="F114" s="1354"/>
      <c r="G114" s="2331">
        <v>0</v>
      </c>
      <c r="H114" s="2332"/>
      <c r="I114" s="2341">
        <v>0</v>
      </c>
      <c r="J114" s="2315"/>
      <c r="K114" s="2322">
        <f t="shared" si="41"/>
        <v>0</v>
      </c>
      <c r="L114" s="2314"/>
      <c r="M114" s="2311">
        <f t="shared" si="40"/>
        <v>0</v>
      </c>
      <c r="N114" s="2312"/>
      <c r="S114" s="1622">
        <f t="shared" si="42"/>
        <v>0</v>
      </c>
      <c r="T114" s="1330">
        <f t="shared" si="43"/>
        <v>0</v>
      </c>
    </row>
    <row r="115" spans="3:20" s="1330" customFormat="1" ht="13.5" customHeight="1" thickBot="1">
      <c r="C115" s="1363"/>
      <c r="D115" s="2359"/>
      <c r="E115" s="2360"/>
      <c r="F115" s="1354"/>
      <c r="G115" s="2331">
        <v>0</v>
      </c>
      <c r="H115" s="2332"/>
      <c r="I115" s="2341">
        <v>0</v>
      </c>
      <c r="J115" s="2315"/>
      <c r="K115" s="2322">
        <f t="shared" si="41"/>
        <v>0</v>
      </c>
      <c r="L115" s="2314"/>
      <c r="M115" s="2311">
        <f t="shared" si="40"/>
        <v>0</v>
      </c>
      <c r="N115" s="2312"/>
      <c r="S115" s="1622">
        <f t="shared" si="42"/>
        <v>0</v>
      </c>
      <c r="T115" s="1330">
        <f t="shared" si="43"/>
        <v>0</v>
      </c>
    </row>
    <row r="116" spans="3:20" customFormat="1" ht="13.5" customHeight="1" thickTop="1" thickBot="1">
      <c r="C116" s="2344" t="s">
        <v>752</v>
      </c>
      <c r="D116" s="2344"/>
      <c r="E116" s="2344"/>
      <c r="F116" s="1339"/>
      <c r="G116" s="2313">
        <f>ROUND(SUM(G101:H115),0)</f>
        <v>0</v>
      </c>
      <c r="H116" s="2308"/>
      <c r="I116" s="2308">
        <f>SUM(I101:J115)</f>
        <v>0</v>
      </c>
      <c r="J116" s="2308"/>
      <c r="K116" s="2308">
        <f>SUM(K101:L115)</f>
        <v>0</v>
      </c>
      <c r="L116" s="2308"/>
      <c r="M116" s="2309">
        <f>IF(AND(G116&lt;&gt;"",G116&gt;0),K116/G116,IF(AND(G116&lt;1,I116&gt;0),1,0))</f>
        <v>0</v>
      </c>
      <c r="N116" s="2310"/>
    </row>
    <row r="117" spans="3:20" s="1330" customFormat="1" ht="13.5" customHeight="1" thickTop="1">
      <c r="C117" s="1341"/>
      <c r="D117" s="1341"/>
      <c r="E117" s="1341"/>
      <c r="F117" s="1341"/>
      <c r="G117" s="1342"/>
      <c r="H117" s="1342"/>
      <c r="I117" s="1343"/>
      <c r="J117" s="1343"/>
      <c r="K117" s="1344"/>
      <c r="L117" s="1344"/>
      <c r="M117" s="1345"/>
      <c r="N117" s="1348"/>
      <c r="S117" s="1331"/>
    </row>
    <row r="118" spans="3:20" s="1330" customFormat="1" ht="13.5" customHeight="1">
      <c r="C118" s="2339" t="s">
        <v>876</v>
      </c>
      <c r="D118" s="2339"/>
      <c r="E118" s="2339"/>
      <c r="F118" s="1341"/>
      <c r="G118" s="1346"/>
      <c r="H118" s="1346"/>
      <c r="I118" s="1347"/>
      <c r="J118" s="1347"/>
      <c r="K118" s="1346"/>
      <c r="L118" s="1346"/>
      <c r="M118" s="1348"/>
      <c r="N118" s="1348"/>
      <c r="S118" s="1331"/>
    </row>
    <row r="119" spans="3:20" s="1330" customFormat="1" ht="13.5" customHeight="1">
      <c r="C119" s="1858" t="s">
        <v>6</v>
      </c>
      <c r="D119" s="1858"/>
      <c r="E119" s="1858"/>
      <c r="F119" s="1340"/>
      <c r="G119" s="2305">
        <v>0</v>
      </c>
      <c r="H119" s="2306"/>
      <c r="I119" s="2341">
        <f>IF('A(2)-Uses Statement'!M57&gt;0,ROUND('A(2)-Uses Statement'!M57,0),0)</f>
        <v>0</v>
      </c>
      <c r="J119" s="2315"/>
      <c r="K119" s="2350">
        <f>ROUND(I119,0)-ROUND(G119,0)</f>
        <v>0</v>
      </c>
      <c r="L119" s="2350"/>
      <c r="M119" s="2349">
        <f>IF(AND(G119&lt;&gt;"",G119&gt;0),K119/G119,IF(AND(G119&lt;1,I119&gt;0),1,0))</f>
        <v>0</v>
      </c>
      <c r="N119" s="2349"/>
      <c r="S119" s="1622">
        <f t="shared" ref="S119:S138" si="44">IF(K119&lt;0,K119*-1,K119)</f>
        <v>0</v>
      </c>
      <c r="T119" s="1330">
        <f t="shared" ref="T119:T138" si="45">IF(AND(S119&gt;=$M$15,S119&gt;0),1,0)</f>
        <v>0</v>
      </c>
    </row>
    <row r="120" spans="3:20" s="1330" customFormat="1" ht="13.5" customHeight="1">
      <c r="C120" s="1858" t="s">
        <v>2</v>
      </c>
      <c r="D120" s="1858"/>
      <c r="E120" s="1858"/>
      <c r="F120" s="1341"/>
      <c r="G120" s="2305">
        <v>0</v>
      </c>
      <c r="H120" s="2306"/>
      <c r="I120" s="2341">
        <f>IF('A(2)-Uses Statement'!M58&gt;0,ROUND('A(2)-Uses Statement'!M58,0),0)</f>
        <v>0</v>
      </c>
      <c r="J120" s="2315"/>
      <c r="K120" s="2350">
        <f t="shared" ref="K120:K123" si="46">I120-G120</f>
        <v>0</v>
      </c>
      <c r="L120" s="2350"/>
      <c r="M120" s="2349">
        <f t="shared" ref="M120:M123" si="47">IF(AND(G120&lt;&gt;"",G120&gt;0),K120/G120,IF(AND(G120&lt;1,I120&gt;0),1,0))</f>
        <v>0</v>
      </c>
      <c r="N120" s="2349"/>
      <c r="S120" s="1622">
        <f t="shared" si="44"/>
        <v>0</v>
      </c>
      <c r="T120" s="1330">
        <f t="shared" si="45"/>
        <v>0</v>
      </c>
    </row>
    <row r="121" spans="3:20" s="1330" customFormat="1" ht="13.5" customHeight="1">
      <c r="C121" s="1858" t="s">
        <v>743</v>
      </c>
      <c r="D121" s="1858"/>
      <c r="E121" s="1858"/>
      <c r="F121" s="1340"/>
      <c r="G121" s="2305">
        <v>0</v>
      </c>
      <c r="H121" s="2306"/>
      <c r="I121" s="2341">
        <f>IF('A(2)-Uses Statement'!M59&gt;0,ROUND('A(2)-Uses Statement'!M59,0),0)</f>
        <v>0</v>
      </c>
      <c r="J121" s="2315"/>
      <c r="K121" s="2350">
        <f t="shared" si="46"/>
        <v>0</v>
      </c>
      <c r="L121" s="2350"/>
      <c r="M121" s="2349">
        <f t="shared" si="47"/>
        <v>0</v>
      </c>
      <c r="N121" s="2349"/>
      <c r="S121" s="1622">
        <f t="shared" si="44"/>
        <v>0</v>
      </c>
      <c r="T121" s="1330">
        <f t="shared" si="45"/>
        <v>0</v>
      </c>
    </row>
    <row r="122" spans="3:20" s="1330" customFormat="1" ht="13.5" customHeight="1">
      <c r="C122" s="1858" t="s">
        <v>744</v>
      </c>
      <c r="D122" s="1858"/>
      <c r="E122" s="1858"/>
      <c r="F122" s="1341"/>
      <c r="G122" s="2305">
        <v>0</v>
      </c>
      <c r="H122" s="2306"/>
      <c r="I122" s="2341">
        <f>IF('A(2)-Uses Statement'!M60&gt;0,ROUND('A(2)-Uses Statement'!M60,0),0)</f>
        <v>0</v>
      </c>
      <c r="J122" s="2315"/>
      <c r="K122" s="2350">
        <f t="shared" si="46"/>
        <v>0</v>
      </c>
      <c r="L122" s="2350"/>
      <c r="M122" s="2349">
        <f t="shared" si="47"/>
        <v>0</v>
      </c>
      <c r="N122" s="2349"/>
      <c r="S122" s="1622">
        <f t="shared" si="44"/>
        <v>0</v>
      </c>
      <c r="T122" s="1330">
        <f t="shared" si="45"/>
        <v>0</v>
      </c>
    </row>
    <row r="123" spans="3:20" s="1330" customFormat="1" ht="13.5" customHeight="1">
      <c r="C123" s="1858" t="s">
        <v>745</v>
      </c>
      <c r="D123" s="1858"/>
      <c r="E123" s="1858"/>
      <c r="F123" s="1341"/>
      <c r="G123" s="2305">
        <v>0</v>
      </c>
      <c r="H123" s="2306"/>
      <c r="I123" s="2341">
        <f>IF('A(2)-Uses Statement'!M61&gt;0,ROUND('A(2)-Uses Statement'!M61,0),0)</f>
        <v>0</v>
      </c>
      <c r="J123" s="2315"/>
      <c r="K123" s="2350">
        <f t="shared" si="46"/>
        <v>0</v>
      </c>
      <c r="L123" s="2350"/>
      <c r="M123" s="2349">
        <f t="shared" si="47"/>
        <v>0</v>
      </c>
      <c r="N123" s="2349"/>
      <c r="S123" s="1622">
        <f t="shared" si="44"/>
        <v>0</v>
      </c>
      <c r="T123" s="1330">
        <f t="shared" si="45"/>
        <v>0</v>
      </c>
    </row>
    <row r="124" spans="3:20" s="1330" customFormat="1" ht="13.5" customHeight="1">
      <c r="C124" s="1858" t="s">
        <v>746</v>
      </c>
      <c r="D124" s="1858"/>
      <c r="E124" s="1858"/>
      <c r="F124" s="1341"/>
      <c r="G124" s="2305">
        <v>0</v>
      </c>
      <c r="H124" s="2306"/>
      <c r="I124" s="2341">
        <f>IF('A(2)-Uses Statement'!M62&gt;0,ROUND('A(2)-Uses Statement'!M62,0),0)</f>
        <v>0</v>
      </c>
      <c r="J124" s="2315"/>
      <c r="K124" s="2350">
        <f t="shared" ref="K124:K138" si="48">I124-G124</f>
        <v>0</v>
      </c>
      <c r="L124" s="2350"/>
      <c r="M124" s="2349">
        <f t="shared" ref="M124:M137" si="49">IF(AND(G124&lt;&gt;"",G124&gt;0),K124/G124,IF(AND(G124&lt;1,I124&gt;0),1,0))</f>
        <v>0</v>
      </c>
      <c r="N124" s="2349"/>
      <c r="S124" s="1622">
        <f t="shared" si="44"/>
        <v>0</v>
      </c>
      <c r="T124" s="1330">
        <f t="shared" si="45"/>
        <v>0</v>
      </c>
    </row>
    <row r="125" spans="3:20" s="1330" customFormat="1" ht="13.5" customHeight="1">
      <c r="C125" s="1858" t="s">
        <v>740</v>
      </c>
      <c r="D125" s="1858"/>
      <c r="E125" s="1858"/>
      <c r="F125" s="1341"/>
      <c r="G125" s="2305">
        <v>0</v>
      </c>
      <c r="H125" s="2306"/>
      <c r="I125" s="2341">
        <f>IF('A(2)-Uses Statement'!M63&gt;0,ROUND('A(2)-Uses Statement'!M63,0),0)</f>
        <v>0</v>
      </c>
      <c r="J125" s="2315"/>
      <c r="K125" s="2350">
        <f t="shared" si="48"/>
        <v>0</v>
      </c>
      <c r="L125" s="2350"/>
      <c r="M125" s="2349">
        <f t="shared" si="49"/>
        <v>0</v>
      </c>
      <c r="N125" s="2349"/>
      <c r="S125" s="1622">
        <f t="shared" si="44"/>
        <v>0</v>
      </c>
      <c r="T125" s="1330">
        <f t="shared" si="45"/>
        <v>0</v>
      </c>
    </row>
    <row r="126" spans="3:20" s="1330" customFormat="1" ht="13.5" customHeight="1">
      <c r="C126" s="1858" t="s">
        <v>741</v>
      </c>
      <c r="D126" s="1858"/>
      <c r="E126" s="1858"/>
      <c r="F126" s="1341"/>
      <c r="G126" s="2305">
        <v>0</v>
      </c>
      <c r="H126" s="2306"/>
      <c r="I126" s="2341">
        <f>IF('A(2)-Uses Statement'!M64&gt;0,ROUND('A(2)-Uses Statement'!M64,0),0)</f>
        <v>0</v>
      </c>
      <c r="J126" s="2315"/>
      <c r="K126" s="2350">
        <f t="shared" si="48"/>
        <v>0</v>
      </c>
      <c r="L126" s="2350"/>
      <c r="M126" s="2349">
        <f t="shared" si="49"/>
        <v>0</v>
      </c>
      <c r="N126" s="2349"/>
      <c r="S126" s="1622">
        <f t="shared" si="44"/>
        <v>0</v>
      </c>
      <c r="T126" s="1330">
        <f t="shared" si="45"/>
        <v>0</v>
      </c>
    </row>
    <row r="127" spans="3:20" s="1330" customFormat="1" ht="13.5" customHeight="1">
      <c r="C127" s="1858" t="s">
        <v>747</v>
      </c>
      <c r="D127" s="1858"/>
      <c r="E127" s="1858"/>
      <c r="F127" s="1341"/>
      <c r="G127" s="2305">
        <v>0</v>
      </c>
      <c r="H127" s="2306"/>
      <c r="I127" s="2341">
        <f>IF('A(2)-Uses Statement'!M65&gt;0,ROUND('A(2)-Uses Statement'!M65,0),0)</f>
        <v>0</v>
      </c>
      <c r="J127" s="2315"/>
      <c r="K127" s="2350">
        <f t="shared" si="48"/>
        <v>0</v>
      </c>
      <c r="L127" s="2350"/>
      <c r="M127" s="2349">
        <f t="shared" si="49"/>
        <v>0</v>
      </c>
      <c r="N127" s="2349"/>
      <c r="S127" s="1622">
        <f t="shared" si="44"/>
        <v>0</v>
      </c>
      <c r="T127" s="1330">
        <f t="shared" si="45"/>
        <v>0</v>
      </c>
    </row>
    <row r="128" spans="3:20" s="1330" customFormat="1" ht="13.5" customHeight="1">
      <c r="C128" s="1858" t="s">
        <v>134</v>
      </c>
      <c r="D128" s="1858"/>
      <c r="E128" s="1858"/>
      <c r="F128" s="1341"/>
      <c r="G128" s="2305">
        <v>0</v>
      </c>
      <c r="H128" s="2306"/>
      <c r="I128" s="2341">
        <f>IF('A(2)-Uses Statement'!M66&gt;0,ROUND('A(2)-Uses Statement'!M66,0),0)</f>
        <v>0</v>
      </c>
      <c r="J128" s="2315"/>
      <c r="K128" s="2350">
        <f t="shared" si="48"/>
        <v>0</v>
      </c>
      <c r="L128" s="2350"/>
      <c r="M128" s="2349">
        <f t="shared" si="49"/>
        <v>0</v>
      </c>
      <c r="N128" s="2349"/>
      <c r="S128" s="1622">
        <f t="shared" si="44"/>
        <v>0</v>
      </c>
      <c r="T128" s="1330">
        <f t="shared" si="45"/>
        <v>0</v>
      </c>
    </row>
    <row r="129" spans="3:20" s="1330" customFormat="1" ht="13.5" customHeight="1">
      <c r="C129" s="1858" t="s">
        <v>748</v>
      </c>
      <c r="D129" s="1858"/>
      <c r="E129" s="1858"/>
      <c r="F129" s="1341"/>
      <c r="G129" s="2305">
        <v>0</v>
      </c>
      <c r="H129" s="2306"/>
      <c r="I129" s="2341">
        <f>IF('A(2)-Uses Statement'!M67&gt;0,ROUND('A(2)-Uses Statement'!M67,0),0)</f>
        <v>0</v>
      </c>
      <c r="J129" s="2315"/>
      <c r="K129" s="2350">
        <f t="shared" si="48"/>
        <v>0</v>
      </c>
      <c r="L129" s="2350"/>
      <c r="M129" s="2349">
        <f t="shared" si="49"/>
        <v>0</v>
      </c>
      <c r="N129" s="2349"/>
      <c r="S129" s="1622">
        <f t="shared" si="44"/>
        <v>0</v>
      </c>
      <c r="T129" s="1330">
        <f t="shared" si="45"/>
        <v>0</v>
      </c>
    </row>
    <row r="130" spans="3:20" s="1330" customFormat="1" ht="13.5" customHeight="1">
      <c r="C130" s="1858" t="s">
        <v>749</v>
      </c>
      <c r="D130" s="1858"/>
      <c r="E130" s="1858"/>
      <c r="F130" s="1341"/>
      <c r="G130" s="2305">
        <v>0</v>
      </c>
      <c r="H130" s="2306"/>
      <c r="I130" s="2341">
        <f>IF('A(2)-Uses Statement'!M68&gt;0,ROUND('A(2)-Uses Statement'!M68,0),0)</f>
        <v>0</v>
      </c>
      <c r="J130" s="2315"/>
      <c r="K130" s="2350">
        <f t="shared" si="48"/>
        <v>0</v>
      </c>
      <c r="L130" s="2350"/>
      <c r="M130" s="2349">
        <f t="shared" si="49"/>
        <v>0</v>
      </c>
      <c r="N130" s="2349"/>
      <c r="S130" s="1622">
        <f t="shared" si="44"/>
        <v>0</v>
      </c>
      <c r="T130" s="1330">
        <f t="shared" si="45"/>
        <v>0</v>
      </c>
    </row>
    <row r="131" spans="3:20" s="1330" customFormat="1" ht="13.5" customHeight="1">
      <c r="C131" s="1858" t="s">
        <v>138</v>
      </c>
      <c r="D131" s="1858"/>
      <c r="E131" s="1858"/>
      <c r="F131" s="1341"/>
      <c r="G131" s="2305">
        <v>0</v>
      </c>
      <c r="H131" s="2306"/>
      <c r="I131" s="2341">
        <f>IF('A(2)-Uses Statement'!M69&gt;0,ROUND('A(2)-Uses Statement'!M69,0),0)</f>
        <v>0</v>
      </c>
      <c r="J131" s="2315"/>
      <c r="K131" s="2350">
        <f t="shared" si="48"/>
        <v>0</v>
      </c>
      <c r="L131" s="2350"/>
      <c r="M131" s="2349">
        <f t="shared" si="49"/>
        <v>0</v>
      </c>
      <c r="N131" s="2349"/>
      <c r="S131" s="1622">
        <f t="shared" si="44"/>
        <v>0</v>
      </c>
      <c r="T131" s="1330">
        <f t="shared" si="45"/>
        <v>0</v>
      </c>
    </row>
    <row r="132" spans="3:20" s="1330" customFormat="1" ht="13.5" customHeight="1">
      <c r="C132" s="1380" t="s">
        <v>814</v>
      </c>
      <c r="D132" s="2342" t="str">
        <f>IF('A(2)-Uses Statement'!C70&lt;&gt;"",'A(2)-Uses Statement'!C70,"")</f>
        <v/>
      </c>
      <c r="E132" s="2343"/>
      <c r="F132" s="1341"/>
      <c r="G132" s="2305">
        <v>0</v>
      </c>
      <c r="H132" s="2306"/>
      <c r="I132" s="2341">
        <f>IF('A(2)-Uses Statement'!M70&gt;0,ROUND('A(2)-Uses Statement'!M70,0),0)</f>
        <v>0</v>
      </c>
      <c r="J132" s="2315"/>
      <c r="K132" s="2350">
        <f t="shared" si="48"/>
        <v>0</v>
      </c>
      <c r="L132" s="2350"/>
      <c r="M132" s="2349">
        <f t="shared" si="49"/>
        <v>0</v>
      </c>
      <c r="N132" s="2349"/>
      <c r="S132" s="1622">
        <f t="shared" si="44"/>
        <v>0</v>
      </c>
      <c r="T132" s="1330">
        <f t="shared" si="45"/>
        <v>0</v>
      </c>
    </row>
    <row r="133" spans="3:20" s="1330" customFormat="1" ht="13.5" customHeight="1">
      <c r="C133" s="1363"/>
      <c r="D133" s="2342" t="str">
        <f>IF('A(2)-Uses Statement'!C71&lt;&gt;"",'A(2)-Uses Statement'!C71,"")</f>
        <v/>
      </c>
      <c r="E133" s="2343"/>
      <c r="F133" s="1341"/>
      <c r="G133" s="2305">
        <v>0</v>
      </c>
      <c r="H133" s="2306"/>
      <c r="I133" s="2341">
        <f>IF('A(2)-Uses Statement'!M71&gt;0,ROUND('A(2)-Uses Statement'!M71,0),0)</f>
        <v>0</v>
      </c>
      <c r="J133" s="2315"/>
      <c r="K133" s="2350">
        <f t="shared" si="48"/>
        <v>0</v>
      </c>
      <c r="L133" s="2350"/>
      <c r="M133" s="2349">
        <f t="shared" si="49"/>
        <v>0</v>
      </c>
      <c r="N133" s="2349"/>
      <c r="S133" s="1622">
        <f t="shared" si="44"/>
        <v>0</v>
      </c>
      <c r="T133" s="1330">
        <f t="shared" si="45"/>
        <v>0</v>
      </c>
    </row>
    <row r="134" spans="3:20" s="1330" customFormat="1" ht="13.5" customHeight="1">
      <c r="C134" s="1363"/>
      <c r="D134" s="2342" t="str">
        <f>IF('A(2)-Uses Statement'!C72&lt;&gt;"",'A(2)-Uses Statement'!C72,"")</f>
        <v/>
      </c>
      <c r="E134" s="2343"/>
      <c r="F134" s="1341"/>
      <c r="G134" s="2305">
        <v>0</v>
      </c>
      <c r="H134" s="2306"/>
      <c r="I134" s="2341">
        <f>IF('A(2)-Uses Statement'!M72&gt;0,ROUND('A(2)-Uses Statement'!M72,0),0)</f>
        <v>0</v>
      </c>
      <c r="J134" s="2315"/>
      <c r="K134" s="2350">
        <f t="shared" si="48"/>
        <v>0</v>
      </c>
      <c r="L134" s="2350"/>
      <c r="M134" s="2349">
        <f t="shared" si="49"/>
        <v>0</v>
      </c>
      <c r="N134" s="2349"/>
      <c r="S134" s="1622">
        <f t="shared" si="44"/>
        <v>0</v>
      </c>
      <c r="T134" s="1330">
        <f t="shared" si="45"/>
        <v>0</v>
      </c>
    </row>
    <row r="135" spans="3:20" s="1330" customFormat="1" ht="13.5" customHeight="1">
      <c r="C135" s="1363"/>
      <c r="D135" s="2342" t="str">
        <f>IF('A(2)-Uses Statement'!C73&lt;&gt;"",'A(2)-Uses Statement'!C73,"")</f>
        <v/>
      </c>
      <c r="E135" s="2343"/>
      <c r="F135" s="1341"/>
      <c r="G135" s="2305">
        <v>0</v>
      </c>
      <c r="H135" s="2306"/>
      <c r="I135" s="2341">
        <f>IF('A(2)-Uses Statement'!M73&gt;0,ROUND('A(2)-Uses Statement'!M73,0),0)</f>
        <v>0</v>
      </c>
      <c r="J135" s="2315"/>
      <c r="K135" s="2350">
        <f t="shared" si="48"/>
        <v>0</v>
      </c>
      <c r="L135" s="2350"/>
      <c r="M135" s="2349">
        <f t="shared" si="49"/>
        <v>0</v>
      </c>
      <c r="N135" s="2349"/>
      <c r="S135" s="1622">
        <f t="shared" si="44"/>
        <v>0</v>
      </c>
      <c r="T135" s="1330">
        <f t="shared" si="45"/>
        <v>0</v>
      </c>
    </row>
    <row r="136" spans="3:20" s="1330" customFormat="1" ht="13.5" customHeight="1">
      <c r="C136" s="1378"/>
      <c r="D136" s="2342" t="str">
        <f>IF('A(2)-Uses Statement'!C74&lt;&gt;"",'A(2)-Uses Statement'!C74,"")</f>
        <v/>
      </c>
      <c r="E136" s="2343"/>
      <c r="F136" s="1341"/>
      <c r="G136" s="2305">
        <v>0</v>
      </c>
      <c r="H136" s="2306"/>
      <c r="I136" s="2341">
        <f>IF('A(2)-Uses Statement'!M74&gt;0,ROUND('A(2)-Uses Statement'!M74,0),0)</f>
        <v>0</v>
      </c>
      <c r="J136" s="2315"/>
      <c r="K136" s="2350">
        <f t="shared" si="48"/>
        <v>0</v>
      </c>
      <c r="L136" s="2350"/>
      <c r="M136" s="2349">
        <f t="shared" si="49"/>
        <v>0</v>
      </c>
      <c r="N136" s="2349"/>
      <c r="S136" s="1622">
        <f t="shared" si="44"/>
        <v>0</v>
      </c>
      <c r="T136" s="1330">
        <f t="shared" si="45"/>
        <v>0</v>
      </c>
    </row>
    <row r="137" spans="3:20" s="1330" customFormat="1" ht="13.5" customHeight="1">
      <c r="C137" s="1378"/>
      <c r="D137" s="2342" t="str">
        <f>IF('A(2)-Uses Statement'!C75&lt;&gt;"",'A(2)-Uses Statement'!C75,"")</f>
        <v/>
      </c>
      <c r="E137" s="2343"/>
      <c r="F137" s="1341"/>
      <c r="G137" s="2305">
        <v>0</v>
      </c>
      <c r="H137" s="2306"/>
      <c r="I137" s="2341">
        <f>IF('A(2)-Uses Statement'!M75&gt;0,ROUND('A(2)-Uses Statement'!M75,0),0)</f>
        <v>0</v>
      </c>
      <c r="J137" s="2315"/>
      <c r="K137" s="2350">
        <f t="shared" si="48"/>
        <v>0</v>
      </c>
      <c r="L137" s="2350"/>
      <c r="M137" s="2349">
        <f t="shared" si="49"/>
        <v>0</v>
      </c>
      <c r="N137" s="2349"/>
      <c r="S137" s="1622">
        <f t="shared" si="44"/>
        <v>0</v>
      </c>
      <c r="T137" s="1330">
        <f t="shared" si="45"/>
        <v>0</v>
      </c>
    </row>
    <row r="138" spans="3:20" s="1330" customFormat="1" ht="13.5" customHeight="1">
      <c r="C138" s="1378"/>
      <c r="D138" s="2342" t="str">
        <f>IF('A(2)-Uses Statement'!C76&lt;&gt;"",'A(2)-Uses Statement'!C76,"")</f>
        <v/>
      </c>
      <c r="E138" s="2343"/>
      <c r="F138" s="1341"/>
      <c r="G138" s="2305">
        <v>0</v>
      </c>
      <c r="H138" s="2306"/>
      <c r="I138" s="2341">
        <f>IF('A(2)-Uses Statement'!M76&gt;0,ROUND('A(2)-Uses Statement'!M76,0),0)</f>
        <v>0</v>
      </c>
      <c r="J138" s="2315"/>
      <c r="K138" s="2350">
        <f t="shared" si="48"/>
        <v>0</v>
      </c>
      <c r="L138" s="2350"/>
      <c r="M138" s="2349">
        <f>IF(AND(G138&lt;&gt;"",G138&gt;0),K138/G138,IF(AND(G138&lt;1,I138&gt;0),1,0))</f>
        <v>0</v>
      </c>
      <c r="N138" s="2349"/>
      <c r="S138" s="1622">
        <f t="shared" si="44"/>
        <v>0</v>
      </c>
      <c r="T138" s="1330">
        <f t="shared" si="45"/>
        <v>0</v>
      </c>
    </row>
    <row r="139" spans="3:20" s="1330" customFormat="1" ht="13.5" customHeight="1">
      <c r="C139" s="1378"/>
      <c r="D139" s="2359"/>
      <c r="E139" s="2360"/>
      <c r="F139" s="1354"/>
      <c r="G139" s="2331">
        <v>0</v>
      </c>
      <c r="H139" s="2332"/>
      <c r="I139" s="2341">
        <v>0</v>
      </c>
      <c r="J139" s="2315"/>
      <c r="K139" s="2322">
        <f t="shared" ref="K139:K141" si="50">IF(G139&lt;&gt;"",I139-G139,0)</f>
        <v>0</v>
      </c>
      <c r="L139" s="2314"/>
      <c r="M139" s="2311">
        <f t="shared" ref="M139:M141" si="51">IF(AND(G139&lt;&gt;"",G139&gt;0),K139/G139,IF(AND(G139&lt;1,I139&gt;0),1,0))</f>
        <v>0</v>
      </c>
      <c r="N139" s="2312"/>
      <c r="S139" s="1622">
        <f t="shared" ref="S139:S141" si="52">IF(K139&lt;0,K139*-1,K139)</f>
        <v>0</v>
      </c>
      <c r="T139" s="1330">
        <f t="shared" ref="T139:T141" si="53">IF(AND(S139&gt;=$M$15,S139&gt;0),1,0)</f>
        <v>0</v>
      </c>
    </row>
    <row r="140" spans="3:20" s="1330" customFormat="1" ht="13.5" customHeight="1">
      <c r="C140" s="1378"/>
      <c r="D140" s="2359"/>
      <c r="E140" s="2360"/>
      <c r="F140" s="1354"/>
      <c r="G140" s="2331">
        <v>0</v>
      </c>
      <c r="H140" s="2332"/>
      <c r="I140" s="2341">
        <v>0</v>
      </c>
      <c r="J140" s="2315"/>
      <c r="K140" s="2322">
        <f t="shared" si="50"/>
        <v>0</v>
      </c>
      <c r="L140" s="2314"/>
      <c r="M140" s="2311">
        <f t="shared" si="51"/>
        <v>0</v>
      </c>
      <c r="N140" s="2312"/>
      <c r="S140" s="1622">
        <f t="shared" si="52"/>
        <v>0</v>
      </c>
      <c r="T140" s="1330">
        <f t="shared" si="53"/>
        <v>0</v>
      </c>
    </row>
    <row r="141" spans="3:20" s="1330" customFormat="1" ht="13.5" customHeight="1" thickBot="1">
      <c r="C141" s="1378"/>
      <c r="D141" s="2359"/>
      <c r="E141" s="2360"/>
      <c r="F141" s="1354"/>
      <c r="G141" s="2331">
        <v>0</v>
      </c>
      <c r="H141" s="2332"/>
      <c r="I141" s="2341">
        <v>0</v>
      </c>
      <c r="J141" s="2315"/>
      <c r="K141" s="2322">
        <f t="shared" si="50"/>
        <v>0</v>
      </c>
      <c r="L141" s="2314"/>
      <c r="M141" s="2311">
        <f t="shared" si="51"/>
        <v>0</v>
      </c>
      <c r="N141" s="2312"/>
      <c r="S141" s="1622">
        <f t="shared" si="52"/>
        <v>0</v>
      </c>
      <c r="T141" s="1330">
        <f t="shared" si="53"/>
        <v>0</v>
      </c>
    </row>
    <row r="142" spans="3:20" s="1330" customFormat="1" ht="13.5" customHeight="1" thickTop="1" thickBot="1">
      <c r="C142" s="2344" t="s">
        <v>753</v>
      </c>
      <c r="D142" s="2344"/>
      <c r="E142" s="2344"/>
      <c r="F142" s="1349">
        <f>SUM(F119:F138,F101:F112)</f>
        <v>0</v>
      </c>
      <c r="G142" s="2313">
        <f>ROUND(SUM(G119:H141),0)</f>
        <v>0</v>
      </c>
      <c r="H142" s="2308"/>
      <c r="I142" s="2308">
        <f>SUM(I119:J141)</f>
        <v>0</v>
      </c>
      <c r="J142" s="2308"/>
      <c r="K142" s="2308">
        <f>SUM(K119:L141)</f>
        <v>0</v>
      </c>
      <c r="L142" s="2308"/>
      <c r="M142" s="2309">
        <f>IF(AND(G142&lt;&gt;"",G142&gt;0),K142/G142,IF(AND(G142&lt;1,I142&gt;0),1,0))</f>
        <v>0</v>
      </c>
      <c r="N142" s="2310"/>
      <c r="S142" s="1331"/>
    </row>
    <row r="143" spans="3:20" customFormat="1" ht="5.25" customHeight="1" thickTop="1" thickBot="1">
      <c r="F143" s="870"/>
      <c r="G143" s="870"/>
      <c r="H143" s="870"/>
      <c r="I143" s="870"/>
      <c r="J143" s="870"/>
      <c r="K143" s="870"/>
      <c r="L143" s="870"/>
      <c r="M143" s="870"/>
      <c r="N143" s="870"/>
      <c r="S143" s="1331"/>
    </row>
    <row r="144" spans="3:20" s="797" customFormat="1" ht="13.5" customHeight="1" thickTop="1" thickBot="1">
      <c r="C144" s="2371" t="s">
        <v>750</v>
      </c>
      <c r="D144" s="2371"/>
      <c r="E144" s="2371"/>
      <c r="F144" s="19"/>
      <c r="G144" s="2365">
        <f>ROUND(SUM(G142,G116),0)</f>
        <v>0</v>
      </c>
      <c r="H144" s="2366"/>
      <c r="I144" s="2367">
        <f>ROUND(SUM(I142,I116),0)</f>
        <v>0</v>
      </c>
      <c r="J144" s="2368"/>
      <c r="K144" s="2367">
        <f>ROUND(SUM(K142,K116),0)</f>
        <v>0</v>
      </c>
      <c r="L144" s="2368"/>
      <c r="M144" s="2369">
        <f>IF(AND(G144&lt;&gt;"",G144&gt;0),K144/G144,IF(AND(G144&lt;1,I144&gt;0),1,0))</f>
        <v>0</v>
      </c>
      <c r="N144" s="2370"/>
      <c r="S144" s="1331"/>
    </row>
    <row r="145" spans="3:24" s="1330" customFormat="1" ht="5.25" customHeight="1" thickTop="1" thickBot="1">
      <c r="C145" s="1350"/>
      <c r="D145" s="1350"/>
      <c r="E145" s="1350"/>
      <c r="F145" s="1341"/>
      <c r="G145" s="1351"/>
      <c r="H145" s="1351"/>
      <c r="I145" s="1347"/>
      <c r="J145" s="1347"/>
      <c r="K145" s="1346"/>
      <c r="L145" s="1346"/>
      <c r="M145" s="1348"/>
      <c r="N145" s="1348"/>
      <c r="S145" s="1331"/>
    </row>
    <row r="146" spans="3:24" s="1330" customFormat="1" ht="13.5" customHeight="1" thickTop="1" thickBot="1">
      <c r="D146" s="2328" t="s">
        <v>36</v>
      </c>
      <c r="E146" s="2328"/>
      <c r="F146" s="1352"/>
      <c r="G146" s="2372">
        <f>SUM(G75:H87,G91:H97,G101:H115,G119:H141)</f>
        <v>0</v>
      </c>
      <c r="H146" s="2373"/>
      <c r="I146" s="2373">
        <f>SUM(I75:J87,I91:J97,I101:J115,I119:J141)</f>
        <v>0</v>
      </c>
      <c r="J146" s="2373"/>
      <c r="K146" s="2373">
        <f>SUM(K75:L87,K91:L97,K101:L115,K119:L141)</f>
        <v>0</v>
      </c>
      <c r="L146" s="2373"/>
      <c r="M146" s="2374">
        <f>IF(AND(G146&lt;&gt;"",G146&gt;0),K146/G146,IF(AND(G146&lt;1,I146&gt;0),1,0))</f>
        <v>0</v>
      </c>
      <c r="N146" s="2375"/>
      <c r="R146" s="1330">
        <f>COUNTIF(T75:T146,"&gt;0")</f>
        <v>0</v>
      </c>
      <c r="S146" s="1622">
        <f t="shared" ref="S146" si="54">IF(K146&lt;0,K146*-1,K146)</f>
        <v>0</v>
      </c>
      <c r="T146" s="1330">
        <f>IF(AND(S146&gt;=$M$15,S146&gt;0),1,0)</f>
        <v>0</v>
      </c>
    </row>
    <row r="147" spans="3:24" s="1304" customFormat="1" ht="15.75" customHeight="1" thickTop="1">
      <c r="C147" s="2303" t="str">
        <f>IF(R146&gt;=1,"Please explain any variance of 5% of previous TDC or more in any uses line item (above or below) and/or in total development costs since the previous submission:","")</f>
        <v/>
      </c>
      <c r="D147" s="2303"/>
      <c r="E147" s="2303"/>
      <c r="F147" s="2303"/>
      <c r="G147" s="2303"/>
      <c r="H147" s="2303"/>
      <c r="I147" s="2303"/>
      <c r="J147" s="2303"/>
      <c r="K147" s="2303"/>
      <c r="L147" s="2303"/>
      <c r="M147" s="2303"/>
      <c r="N147" s="2303"/>
      <c r="O147" s="1374"/>
      <c r="R147" s="1313">
        <f>COUNTIF(R146,"&gt;0")</f>
        <v>0</v>
      </c>
      <c r="S147" s="1313"/>
    </row>
    <row r="148" spans="3:24" s="1304" customFormat="1" ht="58.5" customHeight="1">
      <c r="C148" s="2304"/>
      <c r="D148" s="2304"/>
      <c r="E148" s="2304"/>
      <c r="F148" s="2304"/>
      <c r="G148" s="2304"/>
      <c r="H148" s="2304"/>
      <c r="I148" s="2304"/>
      <c r="J148" s="2304"/>
      <c r="K148" s="2304"/>
      <c r="L148" s="2304"/>
      <c r="M148" s="2304"/>
      <c r="N148" s="2304"/>
      <c r="O148" s="1305"/>
      <c r="R148" s="1313">
        <f>COUNTIF(C148,"")</f>
        <v>1</v>
      </c>
      <c r="S148" s="1313">
        <f>R146+R148</f>
        <v>1</v>
      </c>
      <c r="X148" s="1313"/>
    </row>
    <row r="149" spans="3:24" s="1330" customFormat="1" ht="4.5" customHeight="1">
      <c r="M149" s="1334"/>
      <c r="N149" s="1334"/>
    </row>
    <row r="150" spans="3:24" s="1330" customFormat="1" ht="11.25" customHeight="1">
      <c r="C150" s="1354"/>
      <c r="D150" s="1354"/>
      <c r="E150" s="1354"/>
      <c r="F150" s="1354"/>
      <c r="G150" s="1355"/>
      <c r="H150" s="1355"/>
      <c r="I150" s="1356"/>
      <c r="J150" s="1356"/>
      <c r="K150" s="1356"/>
      <c r="L150" s="1356"/>
      <c r="M150" s="1348"/>
      <c r="N150" s="1348"/>
      <c r="R150" s="1353" t="str">
        <f t="shared" ref="R150:R158" si="55">IF(I150&lt;&gt;"",I150+G150,"")</f>
        <v/>
      </c>
      <c r="S150" s="1331"/>
    </row>
    <row r="151" spans="3:24" s="1330" customFormat="1" ht="11.25" customHeight="1">
      <c r="C151" s="1354"/>
      <c r="D151" s="1354"/>
      <c r="E151" s="1354"/>
      <c r="F151" s="1354"/>
      <c r="G151" s="1355"/>
      <c r="H151" s="1355"/>
      <c r="I151" s="1356"/>
      <c r="J151" s="1356"/>
      <c r="K151" s="1356"/>
      <c r="L151" s="1356"/>
      <c r="M151" s="1348"/>
      <c r="N151" s="1348"/>
      <c r="R151" s="1353" t="str">
        <f t="shared" si="55"/>
        <v/>
      </c>
      <c r="S151" s="1331"/>
    </row>
    <row r="152" spans="3:24" s="1330" customFormat="1" ht="11.25" customHeight="1">
      <c r="C152" s="1354"/>
      <c r="D152" s="1354"/>
      <c r="E152" s="1354"/>
      <c r="F152" s="1354"/>
      <c r="G152" s="1355"/>
      <c r="H152" s="1355"/>
      <c r="I152" s="1356"/>
      <c r="J152" s="1356"/>
      <c r="K152" s="1356"/>
      <c r="L152" s="1356"/>
      <c r="M152" s="1348"/>
      <c r="N152" s="1348"/>
      <c r="R152" s="1353" t="str">
        <f t="shared" si="55"/>
        <v/>
      </c>
      <c r="S152" s="1331"/>
    </row>
    <row r="153" spans="3:24" s="1330" customFormat="1" ht="11.25" customHeight="1">
      <c r="C153" s="1354"/>
      <c r="D153" s="1354"/>
      <c r="E153" s="1354"/>
      <c r="F153" s="1354"/>
      <c r="G153" s="1355"/>
      <c r="H153" s="1355"/>
      <c r="I153" s="1356"/>
      <c r="J153" s="1356"/>
      <c r="K153" s="1356"/>
      <c r="L153" s="1356"/>
      <c r="M153" s="1348"/>
      <c r="N153" s="1348"/>
      <c r="R153" s="1353" t="str">
        <f t="shared" si="55"/>
        <v/>
      </c>
      <c r="S153" s="1331"/>
    </row>
    <row r="154" spans="3:24" s="1330" customFormat="1" ht="11.25" customHeight="1">
      <c r="C154" s="1354"/>
      <c r="D154" s="1354"/>
      <c r="E154" s="1354"/>
      <c r="F154" s="1354"/>
      <c r="G154" s="1355"/>
      <c r="H154" s="1355"/>
      <c r="I154" s="1356"/>
      <c r="J154" s="1356"/>
      <c r="K154" s="1356"/>
      <c r="L154" s="1356"/>
      <c r="M154" s="1348"/>
      <c r="N154" s="1348"/>
      <c r="R154" s="1353" t="str">
        <f t="shared" si="55"/>
        <v/>
      </c>
      <c r="S154" s="1331"/>
    </row>
    <row r="155" spans="3:24" s="1330" customFormat="1" ht="11.25" customHeight="1">
      <c r="C155" s="1354"/>
      <c r="D155" s="1354"/>
      <c r="E155" s="1354"/>
      <c r="F155" s="1354"/>
      <c r="G155" s="1355"/>
      <c r="H155" s="1355"/>
      <c r="I155" s="1356"/>
      <c r="J155" s="1356"/>
      <c r="K155" s="1356"/>
      <c r="L155" s="1356"/>
      <c r="M155" s="1348"/>
      <c r="N155" s="1348"/>
      <c r="R155" s="1353" t="str">
        <f t="shared" si="55"/>
        <v/>
      </c>
      <c r="S155" s="1331"/>
    </row>
    <row r="156" spans="3:24" s="1330" customFormat="1" ht="11.25" customHeight="1">
      <c r="C156" s="1354"/>
      <c r="D156" s="1354"/>
      <c r="E156" s="1354"/>
      <c r="F156" s="1354"/>
      <c r="G156" s="1355"/>
      <c r="H156" s="1355"/>
      <c r="I156" s="1356"/>
      <c r="J156" s="1356"/>
      <c r="K156" s="1356"/>
      <c r="L156" s="1356"/>
      <c r="M156" s="1348"/>
      <c r="N156" s="1348"/>
      <c r="R156" s="1353" t="str">
        <f t="shared" si="55"/>
        <v/>
      </c>
      <c r="S156" s="1331"/>
    </row>
    <row r="157" spans="3:24" s="1330" customFormat="1" ht="11.25" customHeight="1">
      <c r="C157" s="1354"/>
      <c r="D157" s="1354"/>
      <c r="E157" s="1354"/>
      <c r="F157" s="1354"/>
      <c r="G157" s="1355"/>
      <c r="H157" s="1355"/>
      <c r="I157" s="1356"/>
      <c r="J157" s="1356"/>
      <c r="K157" s="1356"/>
      <c r="L157" s="1356"/>
      <c r="M157" s="1348"/>
      <c r="N157" s="1348"/>
      <c r="R157" s="1353" t="str">
        <f t="shared" si="55"/>
        <v/>
      </c>
      <c r="S157" s="1331"/>
    </row>
    <row r="158" spans="3:24" s="1330" customFormat="1" ht="13.5" customHeight="1">
      <c r="C158" s="1357"/>
      <c r="D158" s="1357"/>
      <c r="E158" s="1357"/>
      <c r="F158" s="1357"/>
      <c r="G158" s="1358"/>
      <c r="H158" s="1358"/>
      <c r="I158" s="1358"/>
      <c r="J158" s="1358"/>
      <c r="K158" s="1358"/>
      <c r="L158" s="1358"/>
      <c r="M158" s="1359"/>
      <c r="N158" s="1359"/>
      <c r="R158" s="1353" t="str">
        <f t="shared" si="55"/>
        <v/>
      </c>
      <c r="S158" s="1331"/>
    </row>
    <row r="159" spans="3:24" ht="13.5" customHeight="1">
      <c r="M159" s="1360"/>
      <c r="N159" s="1360"/>
      <c r="R159" s="1353"/>
    </row>
  </sheetData>
  <sheetProtection password="C9A3" sheet="1" objects="1" scenarios="1" selectLockedCells="1"/>
  <mergeCells count="571">
    <mergeCell ref="K141:L141"/>
    <mergeCell ref="M141:N141"/>
    <mergeCell ref="K115:L115"/>
    <mergeCell ref="M115:N115"/>
    <mergeCell ref="D139:E139"/>
    <mergeCell ref="G139:H139"/>
    <mergeCell ref="I139:J139"/>
    <mergeCell ref="K139:L139"/>
    <mergeCell ref="M139:N139"/>
    <mergeCell ref="D140:E140"/>
    <mergeCell ref="G140:H140"/>
    <mergeCell ref="I140:J140"/>
    <mergeCell ref="K140:L140"/>
    <mergeCell ref="M140:N140"/>
    <mergeCell ref="K137:L137"/>
    <mergeCell ref="M137:N137"/>
    <mergeCell ref="G134:H134"/>
    <mergeCell ref="I134:J134"/>
    <mergeCell ref="K134:L134"/>
    <mergeCell ref="M134:N134"/>
    <mergeCell ref="G135:H135"/>
    <mergeCell ref="I135:J135"/>
    <mergeCell ref="K135:L135"/>
    <mergeCell ref="M135:N135"/>
    <mergeCell ref="D85:E85"/>
    <mergeCell ref="D86:E86"/>
    <mergeCell ref="D87:E87"/>
    <mergeCell ref="G85:H85"/>
    <mergeCell ref="I85:J85"/>
    <mergeCell ref="K85:L85"/>
    <mergeCell ref="M85:N85"/>
    <mergeCell ref="G86:H86"/>
    <mergeCell ref="I86:J86"/>
    <mergeCell ref="K86:L86"/>
    <mergeCell ref="M86:N86"/>
    <mergeCell ref="G87:H87"/>
    <mergeCell ref="I87:J87"/>
    <mergeCell ref="K87:L87"/>
    <mergeCell ref="M87:N87"/>
    <mergeCell ref="C62:F62"/>
    <mergeCell ref="G62:H62"/>
    <mergeCell ref="I62:J62"/>
    <mergeCell ref="K62:L62"/>
    <mergeCell ref="M62:N62"/>
    <mergeCell ref="C63:F63"/>
    <mergeCell ref="G63:H63"/>
    <mergeCell ref="I63:J63"/>
    <mergeCell ref="K63:L63"/>
    <mergeCell ref="M63:N63"/>
    <mergeCell ref="C64:F64"/>
    <mergeCell ref="G64:H64"/>
    <mergeCell ref="I64:J64"/>
    <mergeCell ref="K64:L64"/>
    <mergeCell ref="M64:N64"/>
    <mergeCell ref="C65:F65"/>
    <mergeCell ref="G65:H65"/>
    <mergeCell ref="I65:J65"/>
    <mergeCell ref="K65:L65"/>
    <mergeCell ref="M65:N65"/>
    <mergeCell ref="M60:N60"/>
    <mergeCell ref="C36:F36"/>
    <mergeCell ref="G36:H36"/>
    <mergeCell ref="I36:J36"/>
    <mergeCell ref="K36:L36"/>
    <mergeCell ref="M36:N36"/>
    <mergeCell ref="C38:M38"/>
    <mergeCell ref="M56:N56"/>
    <mergeCell ref="I57:J57"/>
    <mergeCell ref="K57:L57"/>
    <mergeCell ref="M57:N57"/>
    <mergeCell ref="I58:J58"/>
    <mergeCell ref="M53:N53"/>
    <mergeCell ref="I50:J50"/>
    <mergeCell ref="K50:L50"/>
    <mergeCell ref="M50:N50"/>
    <mergeCell ref="I51:J51"/>
    <mergeCell ref="G58:H58"/>
    <mergeCell ref="M58:N58"/>
    <mergeCell ref="M54:N54"/>
    <mergeCell ref="C42:F42"/>
    <mergeCell ref="C43:F43"/>
    <mergeCell ref="C44:F44"/>
    <mergeCell ref="C45:F45"/>
    <mergeCell ref="M16:N16"/>
    <mergeCell ref="B16:G16"/>
    <mergeCell ref="H16:L16"/>
    <mergeCell ref="K30:L30"/>
    <mergeCell ref="K31:L31"/>
    <mergeCell ref="M20:N20"/>
    <mergeCell ref="M21:N21"/>
    <mergeCell ref="M22:N22"/>
    <mergeCell ref="M23:N23"/>
    <mergeCell ref="M24:N24"/>
    <mergeCell ref="K21:L21"/>
    <mergeCell ref="K22:L22"/>
    <mergeCell ref="K23:L23"/>
    <mergeCell ref="K24:L24"/>
    <mergeCell ref="K25:L25"/>
    <mergeCell ref="K26:L26"/>
    <mergeCell ref="I24:J24"/>
    <mergeCell ref="K29:L29"/>
    <mergeCell ref="C24:F24"/>
    <mergeCell ref="C25:F25"/>
    <mergeCell ref="C26:F26"/>
    <mergeCell ref="I23:J23"/>
    <mergeCell ref="C20:F20"/>
    <mergeCell ref="K20:L20"/>
    <mergeCell ref="M2:N2"/>
    <mergeCell ref="L1:N1"/>
    <mergeCell ref="G4:N4"/>
    <mergeCell ref="D146:E146"/>
    <mergeCell ref="M12:N12"/>
    <mergeCell ref="K12:L12"/>
    <mergeCell ref="C142:E142"/>
    <mergeCell ref="G144:H144"/>
    <mergeCell ref="I144:J144"/>
    <mergeCell ref="K144:L144"/>
    <mergeCell ref="M144:N144"/>
    <mergeCell ref="C144:E144"/>
    <mergeCell ref="K138:L138"/>
    <mergeCell ref="M138:N138"/>
    <mergeCell ref="G146:H146"/>
    <mergeCell ref="I146:J146"/>
    <mergeCell ref="K146:L146"/>
    <mergeCell ref="M146:N146"/>
    <mergeCell ref="K136:L136"/>
    <mergeCell ref="M136:N136"/>
    <mergeCell ref="G137:H137"/>
    <mergeCell ref="I137:J137"/>
    <mergeCell ref="C34:F34"/>
    <mergeCell ref="G34:H34"/>
    <mergeCell ref="G133:H133"/>
    <mergeCell ref="I133:J133"/>
    <mergeCell ref="K133:L133"/>
    <mergeCell ref="M133:N133"/>
    <mergeCell ref="K130:L130"/>
    <mergeCell ref="M130:N130"/>
    <mergeCell ref="G131:H131"/>
    <mergeCell ref="I131:J131"/>
    <mergeCell ref="K131:L131"/>
    <mergeCell ref="M131:N131"/>
    <mergeCell ref="G123:H123"/>
    <mergeCell ref="I123:J123"/>
    <mergeCell ref="K123:L123"/>
    <mergeCell ref="M123:N123"/>
    <mergeCell ref="G124:H124"/>
    <mergeCell ref="I124:J124"/>
    <mergeCell ref="K124:L124"/>
    <mergeCell ref="M124:N124"/>
    <mergeCell ref="G125:H125"/>
    <mergeCell ref="I125:J125"/>
    <mergeCell ref="K125:L125"/>
    <mergeCell ref="M125:N125"/>
    <mergeCell ref="K142:L142"/>
    <mergeCell ref="M142:N142"/>
    <mergeCell ref="G126:H126"/>
    <mergeCell ref="I126:J126"/>
    <mergeCell ref="K126:L126"/>
    <mergeCell ref="M126:N126"/>
    <mergeCell ref="G127:H127"/>
    <mergeCell ref="I127:J127"/>
    <mergeCell ref="K127:L127"/>
    <mergeCell ref="M127:N127"/>
    <mergeCell ref="G130:H130"/>
    <mergeCell ref="I130:J130"/>
    <mergeCell ref="G128:H128"/>
    <mergeCell ref="I128:J128"/>
    <mergeCell ref="K128:L128"/>
    <mergeCell ref="M128:N128"/>
    <mergeCell ref="G129:H129"/>
    <mergeCell ref="I129:J129"/>
    <mergeCell ref="K129:L129"/>
    <mergeCell ref="M129:N129"/>
    <mergeCell ref="G132:H132"/>
    <mergeCell ref="I132:J132"/>
    <mergeCell ref="K132:L132"/>
    <mergeCell ref="M132:N132"/>
    <mergeCell ref="D135:E135"/>
    <mergeCell ref="C129:E129"/>
    <mergeCell ref="C130:E130"/>
    <mergeCell ref="C131:E131"/>
    <mergeCell ref="D132:E132"/>
    <mergeCell ref="D133:E133"/>
    <mergeCell ref="D134:E134"/>
    <mergeCell ref="C123:E123"/>
    <mergeCell ref="C124:E124"/>
    <mergeCell ref="C125:E125"/>
    <mergeCell ref="C126:E126"/>
    <mergeCell ref="C127:E127"/>
    <mergeCell ref="C128:E128"/>
    <mergeCell ref="D136:E136"/>
    <mergeCell ref="D137:E137"/>
    <mergeCell ref="D138:E138"/>
    <mergeCell ref="G142:H142"/>
    <mergeCell ref="I142:J142"/>
    <mergeCell ref="G136:H136"/>
    <mergeCell ref="I136:J136"/>
    <mergeCell ref="G138:H138"/>
    <mergeCell ref="I138:J138"/>
    <mergeCell ref="D141:E141"/>
    <mergeCell ref="G141:H141"/>
    <mergeCell ref="I141:J141"/>
    <mergeCell ref="C118:E118"/>
    <mergeCell ref="C119:E119"/>
    <mergeCell ref="C120:E120"/>
    <mergeCell ref="C121:E121"/>
    <mergeCell ref="C122:E122"/>
    <mergeCell ref="G121:H121"/>
    <mergeCell ref="I121:J121"/>
    <mergeCell ref="K121:L121"/>
    <mergeCell ref="M121:N121"/>
    <mergeCell ref="G119:H119"/>
    <mergeCell ref="I119:J119"/>
    <mergeCell ref="K119:L119"/>
    <mergeCell ref="M119:N119"/>
    <mergeCell ref="G120:H120"/>
    <mergeCell ref="I120:J120"/>
    <mergeCell ref="K120:L120"/>
    <mergeCell ref="M120:N120"/>
    <mergeCell ref="G122:H122"/>
    <mergeCell ref="I122:J122"/>
    <mergeCell ref="K122:L122"/>
    <mergeCell ref="M122:N122"/>
    <mergeCell ref="M110:N110"/>
    <mergeCell ref="G111:H111"/>
    <mergeCell ref="I111:J111"/>
    <mergeCell ref="K111:L111"/>
    <mergeCell ref="M111:N111"/>
    <mergeCell ref="G108:H108"/>
    <mergeCell ref="I108:J108"/>
    <mergeCell ref="K108:L108"/>
    <mergeCell ref="M108:N108"/>
    <mergeCell ref="G109:H109"/>
    <mergeCell ref="I109:J109"/>
    <mergeCell ref="K109:L109"/>
    <mergeCell ref="M109:N109"/>
    <mergeCell ref="M106:N106"/>
    <mergeCell ref="G107:H107"/>
    <mergeCell ref="I107:J107"/>
    <mergeCell ref="K107:L107"/>
    <mergeCell ref="M107:N107"/>
    <mergeCell ref="G104:H104"/>
    <mergeCell ref="I104:J104"/>
    <mergeCell ref="K104:L104"/>
    <mergeCell ref="M104:N104"/>
    <mergeCell ref="G105:H105"/>
    <mergeCell ref="I105:J105"/>
    <mergeCell ref="K105:L105"/>
    <mergeCell ref="M105:N105"/>
    <mergeCell ref="D106:E106"/>
    <mergeCell ref="D107:E107"/>
    <mergeCell ref="D108:E108"/>
    <mergeCell ref="D109:E109"/>
    <mergeCell ref="D110:E110"/>
    <mergeCell ref="C102:E102"/>
    <mergeCell ref="G106:H106"/>
    <mergeCell ref="I106:J106"/>
    <mergeCell ref="K106:L106"/>
    <mergeCell ref="G110:H110"/>
    <mergeCell ref="I110:J110"/>
    <mergeCell ref="K110:L110"/>
    <mergeCell ref="C104:E104"/>
    <mergeCell ref="C105:E105"/>
    <mergeCell ref="G102:H102"/>
    <mergeCell ref="I102:J102"/>
    <mergeCell ref="K102:L102"/>
    <mergeCell ref="C103:E103"/>
    <mergeCell ref="C116:E116"/>
    <mergeCell ref="G116:H116"/>
    <mergeCell ref="I116:J116"/>
    <mergeCell ref="K116:L116"/>
    <mergeCell ref="M116:N116"/>
    <mergeCell ref="D111:E111"/>
    <mergeCell ref="D112:E112"/>
    <mergeCell ref="G112:H112"/>
    <mergeCell ref="I112:J112"/>
    <mergeCell ref="K112:L112"/>
    <mergeCell ref="M112:N112"/>
    <mergeCell ref="D113:E113"/>
    <mergeCell ref="G113:H113"/>
    <mergeCell ref="I113:J113"/>
    <mergeCell ref="K113:L113"/>
    <mergeCell ref="M113:N113"/>
    <mergeCell ref="D114:E114"/>
    <mergeCell ref="G114:H114"/>
    <mergeCell ref="I114:J114"/>
    <mergeCell ref="K114:L114"/>
    <mergeCell ref="M114:N114"/>
    <mergeCell ref="D115:E115"/>
    <mergeCell ref="G115:H115"/>
    <mergeCell ref="I115:J115"/>
    <mergeCell ref="C100:E100"/>
    <mergeCell ref="C101:E101"/>
    <mergeCell ref="G101:H101"/>
    <mergeCell ref="I101:J101"/>
    <mergeCell ref="K101:L101"/>
    <mergeCell ref="M101:N101"/>
    <mergeCell ref="K98:L98"/>
    <mergeCell ref="M98:N98"/>
    <mergeCell ref="G98:H98"/>
    <mergeCell ref="I98:J98"/>
    <mergeCell ref="M102:N102"/>
    <mergeCell ref="G103:H103"/>
    <mergeCell ref="I103:J103"/>
    <mergeCell ref="K103:L103"/>
    <mergeCell ref="M103:N103"/>
    <mergeCell ref="K91:L91"/>
    <mergeCell ref="M91:N91"/>
    <mergeCell ref="I92:J92"/>
    <mergeCell ref="K92:L92"/>
    <mergeCell ref="M92:N92"/>
    <mergeCell ref="I93:J93"/>
    <mergeCell ref="K93:L93"/>
    <mergeCell ref="M93:N93"/>
    <mergeCell ref="K97:L97"/>
    <mergeCell ref="M97:N97"/>
    <mergeCell ref="C95:E95"/>
    <mergeCell ref="C96:E96"/>
    <mergeCell ref="C97:E97"/>
    <mergeCell ref="I94:J94"/>
    <mergeCell ref="I97:J97"/>
    <mergeCell ref="K94:L94"/>
    <mergeCell ref="M94:N94"/>
    <mergeCell ref="I95:J95"/>
    <mergeCell ref="K95:L95"/>
    <mergeCell ref="M95:N95"/>
    <mergeCell ref="I96:J96"/>
    <mergeCell ref="K96:L96"/>
    <mergeCell ref="M96:N96"/>
    <mergeCell ref="C88:E88"/>
    <mergeCell ref="C98:E98"/>
    <mergeCell ref="C90:E90"/>
    <mergeCell ref="C91:E91"/>
    <mergeCell ref="C92:E92"/>
    <mergeCell ref="C93:E93"/>
    <mergeCell ref="I81:J81"/>
    <mergeCell ref="I82:J82"/>
    <mergeCell ref="I83:J83"/>
    <mergeCell ref="I84:J84"/>
    <mergeCell ref="I88:J88"/>
    <mergeCell ref="G82:H82"/>
    <mergeCell ref="G83:H83"/>
    <mergeCell ref="G84:H84"/>
    <mergeCell ref="G88:H88"/>
    <mergeCell ref="G91:H91"/>
    <mergeCell ref="G92:H92"/>
    <mergeCell ref="G93:H93"/>
    <mergeCell ref="G94:H94"/>
    <mergeCell ref="G95:H95"/>
    <mergeCell ref="G96:H96"/>
    <mergeCell ref="G97:H97"/>
    <mergeCell ref="I91:J91"/>
    <mergeCell ref="C94:E94"/>
    <mergeCell ref="M75:N75"/>
    <mergeCell ref="M76:N76"/>
    <mergeCell ref="M77:N77"/>
    <mergeCell ref="M78:N78"/>
    <mergeCell ref="M79:N79"/>
    <mergeCell ref="M80:N80"/>
    <mergeCell ref="M88:N88"/>
    <mergeCell ref="K75:L75"/>
    <mergeCell ref="K76:L76"/>
    <mergeCell ref="K77:L77"/>
    <mergeCell ref="K78:L78"/>
    <mergeCell ref="K79:L79"/>
    <mergeCell ref="K80:L80"/>
    <mergeCell ref="K81:L81"/>
    <mergeCell ref="K82:L82"/>
    <mergeCell ref="K83:L83"/>
    <mergeCell ref="K88:L88"/>
    <mergeCell ref="K84:L84"/>
    <mergeCell ref="M81:N81"/>
    <mergeCell ref="M82:N82"/>
    <mergeCell ref="M83:N83"/>
    <mergeCell ref="M84:N84"/>
    <mergeCell ref="I75:J75"/>
    <mergeCell ref="I76:J76"/>
    <mergeCell ref="I77:J77"/>
    <mergeCell ref="I78:J78"/>
    <mergeCell ref="I79:J79"/>
    <mergeCell ref="I80:J80"/>
    <mergeCell ref="D84:E84"/>
    <mergeCell ref="G75:H75"/>
    <mergeCell ref="G76:H76"/>
    <mergeCell ref="G77:H77"/>
    <mergeCell ref="G78:H78"/>
    <mergeCell ref="G79:H79"/>
    <mergeCell ref="G80:H80"/>
    <mergeCell ref="G81:H81"/>
    <mergeCell ref="D78:E78"/>
    <mergeCell ref="D79:E79"/>
    <mergeCell ref="D80:E80"/>
    <mergeCell ref="D81:E81"/>
    <mergeCell ref="D82:E82"/>
    <mergeCell ref="D83:E83"/>
    <mergeCell ref="C74:E74"/>
    <mergeCell ref="M41:N41"/>
    <mergeCell ref="K41:L41"/>
    <mergeCell ref="I41:J41"/>
    <mergeCell ref="G41:H41"/>
    <mergeCell ref="B68:N68"/>
    <mergeCell ref="K51:L51"/>
    <mergeCell ref="M51:N51"/>
    <mergeCell ref="I48:J48"/>
    <mergeCell ref="K48:L48"/>
    <mergeCell ref="M48:N48"/>
    <mergeCell ref="I49:J49"/>
    <mergeCell ref="K49:L49"/>
    <mergeCell ref="M49:N49"/>
    <mergeCell ref="I46:J46"/>
    <mergeCell ref="K46:L46"/>
    <mergeCell ref="M46:N46"/>
    <mergeCell ref="I47:J47"/>
    <mergeCell ref="K47:L47"/>
    <mergeCell ref="M47:N47"/>
    <mergeCell ref="C61:F61"/>
    <mergeCell ref="G61:H61"/>
    <mergeCell ref="I61:J61"/>
    <mergeCell ref="C59:F59"/>
    <mergeCell ref="M73:N73"/>
    <mergeCell ref="K73:L73"/>
    <mergeCell ref="I73:J73"/>
    <mergeCell ref="K61:L61"/>
    <mergeCell ref="M61:N61"/>
    <mergeCell ref="C70:M70"/>
    <mergeCell ref="C71:M71"/>
    <mergeCell ref="G56:H56"/>
    <mergeCell ref="C54:F54"/>
    <mergeCell ref="C55:F55"/>
    <mergeCell ref="C56:F56"/>
    <mergeCell ref="C57:F57"/>
    <mergeCell ref="C58:F58"/>
    <mergeCell ref="C67:M67"/>
    <mergeCell ref="G73:H73"/>
    <mergeCell ref="G59:H59"/>
    <mergeCell ref="I59:J59"/>
    <mergeCell ref="K59:L59"/>
    <mergeCell ref="M59:N59"/>
    <mergeCell ref="C60:F60"/>
    <mergeCell ref="G60:H60"/>
    <mergeCell ref="I60:J60"/>
    <mergeCell ref="K60:L60"/>
    <mergeCell ref="G57:H57"/>
    <mergeCell ref="G66:H66"/>
    <mergeCell ref="I66:J66"/>
    <mergeCell ref="K66:L66"/>
    <mergeCell ref="I56:J56"/>
    <mergeCell ref="K56:L56"/>
    <mergeCell ref="G50:H50"/>
    <mergeCell ref="G51:H51"/>
    <mergeCell ref="G52:H52"/>
    <mergeCell ref="G53:H53"/>
    <mergeCell ref="G54:H54"/>
    <mergeCell ref="G55:H55"/>
    <mergeCell ref="K58:L58"/>
    <mergeCell ref="I54:J54"/>
    <mergeCell ref="K54:L54"/>
    <mergeCell ref="I55:J55"/>
    <mergeCell ref="G44:H44"/>
    <mergeCell ref="G45:H45"/>
    <mergeCell ref="G46:H46"/>
    <mergeCell ref="C37:F37"/>
    <mergeCell ref="M25:N25"/>
    <mergeCell ref="M26:N26"/>
    <mergeCell ref="M27:N27"/>
    <mergeCell ref="M28:N28"/>
    <mergeCell ref="M29:N29"/>
    <mergeCell ref="M30:N30"/>
    <mergeCell ref="K44:L44"/>
    <mergeCell ref="M44:N44"/>
    <mergeCell ref="I45:J45"/>
    <mergeCell ref="K45:L45"/>
    <mergeCell ref="I32:J32"/>
    <mergeCell ref="K32:L32"/>
    <mergeCell ref="M32:N32"/>
    <mergeCell ref="C33:F33"/>
    <mergeCell ref="G33:H33"/>
    <mergeCell ref="I33:J33"/>
    <mergeCell ref="K33:L33"/>
    <mergeCell ref="M33:N33"/>
    <mergeCell ref="I35:J35"/>
    <mergeCell ref="K35:L35"/>
    <mergeCell ref="I25:J25"/>
    <mergeCell ref="I26:J26"/>
    <mergeCell ref="I27:J27"/>
    <mergeCell ref="I28:J28"/>
    <mergeCell ref="G25:H25"/>
    <mergeCell ref="G26:H26"/>
    <mergeCell ref="G27:H27"/>
    <mergeCell ref="B39:N39"/>
    <mergeCell ref="G43:H43"/>
    <mergeCell ref="M35:N35"/>
    <mergeCell ref="I34:J34"/>
    <mergeCell ref="K34:L34"/>
    <mergeCell ref="M34:N34"/>
    <mergeCell ref="C35:F35"/>
    <mergeCell ref="G35:H35"/>
    <mergeCell ref="C32:F32"/>
    <mergeCell ref="G32:H32"/>
    <mergeCell ref="M45:N45"/>
    <mergeCell ref="M66:N66"/>
    <mergeCell ref="I43:J43"/>
    <mergeCell ref="C47:F47"/>
    <mergeCell ref="C48:F48"/>
    <mergeCell ref="C49:F49"/>
    <mergeCell ref="C50:F50"/>
    <mergeCell ref="C51:F51"/>
    <mergeCell ref="C52:F52"/>
    <mergeCell ref="C66:F66"/>
    <mergeCell ref="G47:H47"/>
    <mergeCell ref="G48:H48"/>
    <mergeCell ref="G49:H49"/>
    <mergeCell ref="K55:L55"/>
    <mergeCell ref="M55:N55"/>
    <mergeCell ref="I52:J52"/>
    <mergeCell ref="K52:L52"/>
    <mergeCell ref="M52:N52"/>
    <mergeCell ref="I53:J53"/>
    <mergeCell ref="K53:L53"/>
    <mergeCell ref="K43:L43"/>
    <mergeCell ref="M43:N43"/>
    <mergeCell ref="I44:J44"/>
    <mergeCell ref="C46:F46"/>
    <mergeCell ref="AB3:AC3"/>
    <mergeCell ref="O10:P10"/>
    <mergeCell ref="G20:H20"/>
    <mergeCell ref="G21:H21"/>
    <mergeCell ref="C27:F27"/>
    <mergeCell ref="C28:F28"/>
    <mergeCell ref="A9:C9"/>
    <mergeCell ref="E9:F9"/>
    <mergeCell ref="G22:H22"/>
    <mergeCell ref="G23:H23"/>
    <mergeCell ref="G24:H24"/>
    <mergeCell ref="K8:K9"/>
    <mergeCell ref="G18:H18"/>
    <mergeCell ref="I18:J18"/>
    <mergeCell ref="K18:L18"/>
    <mergeCell ref="M18:N18"/>
    <mergeCell ref="K27:L27"/>
    <mergeCell ref="K28:L28"/>
    <mergeCell ref="H15:L15"/>
    <mergeCell ref="M15:N15"/>
    <mergeCell ref="I20:J20"/>
    <mergeCell ref="I21:J21"/>
    <mergeCell ref="I22:J22"/>
    <mergeCell ref="C19:F19"/>
    <mergeCell ref="C21:F21"/>
    <mergeCell ref="C22:F22"/>
    <mergeCell ref="C23:F23"/>
    <mergeCell ref="C147:N147"/>
    <mergeCell ref="C148:N148"/>
    <mergeCell ref="C29:F29"/>
    <mergeCell ref="C30:F30"/>
    <mergeCell ref="C31:F31"/>
    <mergeCell ref="G28:H28"/>
    <mergeCell ref="G29:H29"/>
    <mergeCell ref="G30:H30"/>
    <mergeCell ref="G31:H31"/>
    <mergeCell ref="C77:E77"/>
    <mergeCell ref="C76:E76"/>
    <mergeCell ref="C75:E75"/>
    <mergeCell ref="C53:F53"/>
    <mergeCell ref="I37:J37"/>
    <mergeCell ref="M37:N37"/>
    <mergeCell ref="K37:L37"/>
    <mergeCell ref="M31:N31"/>
    <mergeCell ref="G37:H37"/>
    <mergeCell ref="I29:J29"/>
    <mergeCell ref="I30:J30"/>
    <mergeCell ref="I31:J31"/>
  </mergeCells>
  <conditionalFormatting sqref="B68:N68">
    <cfRule type="expression" dxfId="92" priority="40">
      <formula>$R$66&gt;0</formula>
    </cfRule>
  </conditionalFormatting>
  <conditionalFormatting sqref="C148:N148">
    <cfRule type="expression" dxfId="91" priority="38">
      <formula>$R$146&gt;0</formula>
    </cfRule>
  </conditionalFormatting>
  <conditionalFormatting sqref="M117:N118">
    <cfRule type="expression" dxfId="90" priority="33">
      <formula>S117&gt;0.0999999999</formula>
    </cfRule>
  </conditionalFormatting>
  <conditionalFormatting sqref="M145:N145">
    <cfRule type="expression" dxfId="89" priority="32">
      <formula>S145&gt;0.0999999999</formula>
    </cfRule>
  </conditionalFormatting>
  <conditionalFormatting sqref="M150:N157">
    <cfRule type="expression" dxfId="88" priority="30">
      <formula>S150&gt;0.0999999999</formula>
    </cfRule>
  </conditionalFormatting>
  <conditionalFormatting sqref="G4">
    <cfRule type="expression" dxfId="87" priority="17">
      <formula>$G$4="Input the project name and AHP Project Number at the top of the 'Instructions' tab."</formula>
    </cfRule>
  </conditionalFormatting>
  <conditionalFormatting sqref="B39:N39">
    <cfRule type="expression" dxfId="86" priority="2">
      <formula>$R$38&gt;0</formula>
    </cfRule>
  </conditionalFormatting>
  <conditionalFormatting sqref="K12:L12">
    <cfRule type="expression" dxfId="85" priority="1">
      <formula>$K$12="Input As of Date:"</formula>
    </cfRule>
  </conditionalFormatting>
  <dataValidations count="4">
    <dataValidation type="custom" allowBlank="1" showInputMessage="1" showErrorMessage="1" sqref="AB3:AC3 O8 A9 D9:E9 G9:J9 L9:N9 K8:K9">
      <formula1>"&lt;0&gt;0"</formula1>
    </dataValidation>
    <dataValidation type="date" allowBlank="1" showInputMessage="1" showErrorMessage="1" error="A valid date is required." sqref="M12:N12">
      <formula1>1</formula1>
      <formula2>73050</formula2>
    </dataValidation>
    <dataValidation type="custom" allowBlank="1" showInputMessage="1" showErrorMessage="1" error="Value must me numeric and contain only two decimals." sqref="G101:H115 G20:H36 G43:H65 G91:H97 G75:H87 G119:H141">
      <formula1>G20=INT(G20*100)/100</formula1>
    </dataValidation>
    <dataValidation type="custom" allowBlank="1" showInputMessage="1" showErrorMessage="1" sqref="AG4">
      <formula1>MOD(100*V232:X1048576,1)=0</formula1>
    </dataValidation>
  </dataValidations>
  <hyperlinks>
    <hyperlink ref="E9" location="'A(2)-Uses Statement'!H12" display="'A(2)-Uses Statement'!H12"/>
    <hyperlink ref="A9" display="Project Info. &amp; Instructions"/>
    <hyperlink ref="G9" location="'B-Rent Schedule'!D13" display="'B-Rent Schedule'!D13"/>
    <hyperlink ref="A9:B9" location="'Project Info and Instructions'!F16" display="Project Info. &amp; Instructions"/>
    <hyperlink ref="D9" location="'A(1)-Sources Stmt.'!D19" display="'A(1)-Sources Stmt.'!D19"/>
    <hyperlink ref="L9" location="'F-TIV'!Q17" display="'F-TIV'!Q17"/>
    <hyperlink ref="J9" location="'E-Feasibility Analysis'!M22" display="'E-Feasibility Analysis'!M22"/>
    <hyperlink ref="I9" location="'C(2)-Commercial ProForma'!K16" display="'C(2)-Commercial ProForma'!K16"/>
    <hyperlink ref="H9" location="'C(1)-Rental Operating ProForma'!L16" display="'C(1)-Rental Operating ProForma'!L16"/>
    <hyperlink ref="M9" location="'Validation Warnings'!M9" display="'Validation Warnings'!M9"/>
  </hyperlinks>
  <pageMargins left="0.7" right="0.7" top="0.75" bottom="0.75" header="0.3" footer="0.3"/>
  <pageSetup scale="57" fitToHeight="0" orientation="portrait" r:id="rId1"/>
  <rowBreaks count="2" manualBreakCount="2">
    <brk id="68" min="1" max="7" man="1"/>
    <brk id="148" min="1" max="7" man="1"/>
  </rowBreaks>
  <drawing r:id="rId2"/>
  <extLst>
    <ext xmlns:x14="http://schemas.microsoft.com/office/spreadsheetml/2009/9/main" uri="{78C0D931-6437-407d-A8EE-F0AAD7539E65}">
      <x14:conditionalFormattings>
        <x14:conditionalFormatting xmlns:xm="http://schemas.microsoft.com/office/excel/2006/main">
          <x14:cfRule type="expression" priority="5" id="{5329FC27-C89C-4C50-97C2-478D788CCE06}">
            <xm:f>'Project Info and Instructions'!$F$22="No"</xm:f>
            <x14:dxf>
              <font>
                <strike/>
                <color theme="0" tint="-0.34998626667073579"/>
              </font>
              <fill>
                <patternFill>
                  <bgColor theme="0" tint="-0.14996795556505021"/>
                </patternFill>
              </fill>
            </x14:dxf>
          </x14:cfRule>
          <x14:cfRule type="expression" priority="6" id="{5C9C9407-93CA-4DCB-BF7C-3B7701BD818A}">
            <xm:f>'Project Info and Instructions'!$F$20="Owner-occupied"</xm:f>
            <x14:dxf>
              <font>
                <strike/>
                <color theme="0" tint="-0.34998626667073579"/>
              </font>
              <fill>
                <patternFill>
                  <bgColor theme="0" tint="-0.14996795556505021"/>
                </patternFill>
              </fill>
            </x14:dxf>
          </x14:cfRule>
          <xm:sqref>I9</xm:sqref>
        </x14:conditionalFormatting>
        <x14:conditionalFormatting xmlns:xm="http://schemas.microsoft.com/office/excel/2006/main">
          <x14:cfRule type="expression" priority="4" id="{2F0249B6-4A03-439C-88AE-9B6ECD602662}">
            <xm:f>'Project Info and Instructions'!$F$20="Owner-occupied"</xm:f>
            <x14:dxf>
              <font>
                <strike/>
                <color theme="0" tint="-0.34998626667073579"/>
              </font>
              <fill>
                <gradientFill degree="90">
                  <stop position="0">
                    <color theme="0" tint="-0.1490218817712943"/>
                  </stop>
                  <stop position="1">
                    <color theme="0" tint="-0.1490218817712943"/>
                  </stop>
                </gradientFill>
              </fill>
            </x14:dxf>
          </x14:cfRule>
          <xm:sqref>H9</xm:sqref>
        </x14:conditionalFormatting>
        <x14:conditionalFormatting xmlns:xm="http://schemas.microsoft.com/office/excel/2006/main">
          <x14:cfRule type="expression" priority="1618" id="{84070076-F43D-4974-B2F7-D90734094ABD}">
            <xm:f>'Project Info and Instructions'!$V$50&gt;6</xm:f>
            <x14:dxf>
              <font>
                <strike/>
                <color theme="0" tint="-0.34998626667073579"/>
              </font>
              <fill>
                <gradientFill degree="90">
                  <stop position="0">
                    <color theme="0" tint="-0.1490218817712943"/>
                  </stop>
                  <stop position="1">
                    <color theme="0" tint="-0.1490218817712943"/>
                  </stop>
                </gradientFill>
              </fill>
            </x14:dxf>
          </x14:cfRule>
          <xm:sqref>G9</xm:sqref>
        </x14:conditionalFormatting>
      </x14:conditionalFormatting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AO60"/>
  <sheetViews>
    <sheetView showGridLines="0" zoomScale="90" zoomScaleNormal="90" zoomScaleSheetLayoutView="100" workbookViewId="0">
      <selection activeCell="M9" sqref="M9"/>
    </sheetView>
  </sheetViews>
  <sheetFormatPr defaultColWidth="9.140625" defaultRowHeight="15"/>
  <cols>
    <col min="1" max="1" width="0.7109375" style="507" customWidth="1"/>
    <col min="2" max="2" width="4" style="516" customWidth="1"/>
    <col min="3" max="4" width="13.7109375" style="516" customWidth="1"/>
    <col min="5" max="6" width="13.7109375" style="507" customWidth="1"/>
    <col min="7" max="7" width="9.7109375" style="507" bestFit="1" customWidth="1"/>
    <col min="8" max="8" width="10.140625" style="507" customWidth="1"/>
    <col min="9" max="9" width="3.85546875" style="507" customWidth="1"/>
    <col min="10" max="10" width="13.7109375" style="507" customWidth="1"/>
    <col min="11" max="11" width="13.85546875" style="507" customWidth="1"/>
    <col min="12" max="12" width="13.140625" style="507" customWidth="1"/>
    <col min="13" max="13" width="15" style="507" customWidth="1"/>
    <col min="14" max="14" width="13.28515625" style="507" customWidth="1"/>
    <col min="15" max="15" width="10.85546875" style="507" customWidth="1"/>
    <col min="16" max="16" width="9.140625" style="507"/>
    <col min="17" max="17" width="10.85546875" style="507" customWidth="1"/>
    <col min="18" max="25" width="9.140625" style="507" hidden="1" customWidth="1"/>
    <col min="26" max="27" width="9.140625" style="507" customWidth="1"/>
    <col min="28" max="16384" width="9.140625" style="507"/>
  </cols>
  <sheetData>
    <row r="1" spans="1:41">
      <c r="H1" s="1937" t="s">
        <v>963</v>
      </c>
      <c r="I1" s="1937"/>
      <c r="J1" s="1937"/>
      <c r="K1" s="1937"/>
      <c r="L1" s="1937"/>
      <c r="M1" s="1937"/>
      <c r="N1" s="1937"/>
      <c r="O1" s="1937"/>
    </row>
    <row r="2" spans="1:41" s="49" customFormat="1" ht="13.5" customHeight="1">
      <c r="N2" s="1833" t="s">
        <v>1161</v>
      </c>
      <c r="O2" s="1833"/>
      <c r="W2" s="617"/>
      <c r="X2" s="110"/>
      <c r="Y2" s="217"/>
      <c r="Z2" s="217"/>
      <c r="AA2" s="217"/>
      <c r="AB2" s="217"/>
      <c r="AC2" s="217"/>
      <c r="AD2" s="217"/>
      <c r="AE2" s="217"/>
      <c r="AF2" s="217"/>
      <c r="AG2" s="217"/>
      <c r="AH2" s="217"/>
      <c r="AI2" s="217"/>
      <c r="AJ2" s="217"/>
      <c r="AK2" s="217"/>
      <c r="AL2" s="217"/>
      <c r="AM2" s="217"/>
    </row>
    <row r="3" spans="1:41" s="15" customFormat="1" ht="6.75" customHeight="1">
      <c r="A3" s="49"/>
      <c r="B3" s="49"/>
      <c r="C3" s="49"/>
      <c r="D3" s="49"/>
      <c r="E3" s="49"/>
      <c r="F3" s="49"/>
      <c r="G3" s="49"/>
      <c r="N3" s="2392"/>
      <c r="O3" s="2392"/>
      <c r="W3" s="124"/>
      <c r="X3" s="98"/>
      <c r="Y3" s="97"/>
      <c r="Z3" s="97"/>
      <c r="AA3" s="97"/>
      <c r="AB3" s="97"/>
      <c r="AC3" s="97"/>
      <c r="AD3" s="97"/>
      <c r="AE3" s="97"/>
      <c r="AF3" s="97"/>
      <c r="AG3" s="97"/>
      <c r="AH3" s="97"/>
      <c r="AI3" s="97"/>
      <c r="AJ3" s="97"/>
      <c r="AK3" s="97"/>
      <c r="AL3" s="97"/>
      <c r="AM3" s="97"/>
    </row>
    <row r="4" spans="1:41" s="15" customFormat="1" ht="13.5" customHeight="1">
      <c r="A4" s="49"/>
      <c r="B4" s="13"/>
      <c r="C4" s="13"/>
      <c r="D4" s="13"/>
      <c r="E4" s="13"/>
      <c r="F4" s="1937" t="str">
        <f>IF('Project Info and Instructions'!W35&gt;0,"Input the project name and AHP Project Number at the top of the 'Instructions' tab.",'Project Info and Instructions'!F18&amp;" - "&amp;'Project Info and Instructions'!F16)</f>
        <v>Input the project name and AHP Project Number at the top of the 'Instructions' tab.</v>
      </c>
      <c r="G4" s="1937"/>
      <c r="H4" s="1937"/>
      <c r="I4" s="1937"/>
      <c r="J4" s="1937"/>
      <c r="K4" s="1937"/>
      <c r="L4" s="1937"/>
      <c r="M4" s="1937"/>
      <c r="N4" s="1937"/>
      <c r="O4" s="1937"/>
      <c r="S4" s="101"/>
      <c r="T4" s="101"/>
      <c r="V4" s="13"/>
      <c r="W4" s="79"/>
      <c r="X4" s="133"/>
      <c r="Y4" s="97"/>
      <c r="Z4" s="97"/>
      <c r="AA4" s="39"/>
      <c r="AB4" s="39"/>
      <c r="AC4" s="39"/>
      <c r="AD4" s="39"/>
      <c r="AE4" s="39"/>
      <c r="AF4" s="39"/>
      <c r="AG4" s="39"/>
      <c r="AH4" s="39"/>
      <c r="AI4" s="39"/>
      <c r="AJ4" s="39"/>
      <c r="AK4" s="39"/>
      <c r="AL4" s="39"/>
      <c r="AM4" s="39"/>
      <c r="AN4" s="7"/>
      <c r="AO4" s="7"/>
    </row>
    <row r="5" spans="1:41" s="15" customFormat="1" ht="7.5" customHeight="1">
      <c r="A5" s="49"/>
      <c r="B5" s="13"/>
      <c r="C5" s="13"/>
      <c r="D5" s="13"/>
      <c r="E5" s="13"/>
      <c r="F5" s="13"/>
      <c r="G5" s="13"/>
      <c r="H5" s="13"/>
      <c r="I5" s="13"/>
      <c r="J5" s="13"/>
      <c r="K5" s="13"/>
      <c r="L5" s="13"/>
      <c r="M5" s="13"/>
      <c r="S5" s="259"/>
      <c r="T5" s="259"/>
      <c r="V5" s="13"/>
      <c r="W5" s="79"/>
      <c r="X5" s="133"/>
      <c r="Y5" s="97"/>
      <c r="Z5" s="97"/>
      <c r="AA5" s="39"/>
      <c r="AB5" s="39"/>
      <c r="AC5" s="39"/>
      <c r="AD5" s="39"/>
      <c r="AE5" s="39"/>
      <c r="AF5" s="39"/>
      <c r="AG5" s="39"/>
      <c r="AH5" s="39"/>
      <c r="AI5" s="39"/>
      <c r="AJ5" s="39"/>
      <c r="AK5" s="39"/>
      <c r="AL5" s="39"/>
      <c r="AM5" s="39"/>
      <c r="AN5" s="7"/>
      <c r="AO5" s="7"/>
    </row>
    <row r="6" spans="1:41" s="504" customFormat="1" ht="30.75" customHeight="1">
      <c r="A6" s="12"/>
      <c r="B6" s="11"/>
      <c r="D6" s="170"/>
      <c r="E6" s="170"/>
      <c r="F6" s="170"/>
      <c r="G6" s="170"/>
      <c r="H6" s="170"/>
      <c r="I6" s="170"/>
      <c r="J6" s="170"/>
      <c r="K6" s="170"/>
      <c r="L6" s="170"/>
      <c r="M6" s="36"/>
      <c r="N6" s="7"/>
      <c r="O6" s="12"/>
      <c r="P6" s="12"/>
      <c r="Q6" s="12"/>
      <c r="R6" s="12"/>
      <c r="S6" s="12"/>
      <c r="T6" s="12"/>
      <c r="U6" s="12"/>
      <c r="V6" s="12"/>
      <c r="W6" s="12"/>
      <c r="X6" s="12"/>
      <c r="Y6" s="12"/>
    </row>
    <row r="7" spans="1:41" s="504" customFormat="1" ht="7.5" customHeight="1">
      <c r="A7" s="12"/>
      <c r="B7" s="11"/>
      <c r="M7" s="616"/>
      <c r="N7" s="7"/>
      <c r="O7" s="12"/>
      <c r="P7" s="12"/>
      <c r="Q7" s="12"/>
      <c r="R7" s="12"/>
      <c r="S7" s="12"/>
      <c r="T7" s="12"/>
      <c r="U7" s="12"/>
      <c r="V7" s="12"/>
      <c r="W7" s="12"/>
      <c r="X7" s="12"/>
      <c r="Y7" s="12"/>
    </row>
    <row r="8" spans="1:41" s="504" customFormat="1" ht="3.75" customHeight="1">
      <c r="A8" s="12"/>
      <c r="B8" s="11"/>
      <c r="C8" s="8"/>
      <c r="E8" s="40"/>
      <c r="F8" s="40"/>
      <c r="G8" s="616"/>
      <c r="H8" s="616"/>
      <c r="I8" s="616"/>
      <c r="J8" s="616"/>
      <c r="K8" s="616"/>
      <c r="L8" s="616"/>
      <c r="N8" s="2396" t="s">
        <v>45</v>
      </c>
      <c r="O8" s="12"/>
      <c r="P8" s="12"/>
      <c r="Q8" s="12"/>
      <c r="R8" s="12"/>
      <c r="S8" s="12"/>
      <c r="T8" s="12"/>
      <c r="U8" s="12"/>
      <c r="V8" s="12"/>
      <c r="W8" s="12"/>
      <c r="X8" s="12"/>
      <c r="Y8" s="12"/>
    </row>
    <row r="9" spans="1:41" s="504" customFormat="1" ht="36.75" customHeight="1">
      <c r="A9" s="12"/>
      <c r="B9" s="700"/>
      <c r="C9" s="804" t="s">
        <v>937</v>
      </c>
      <c r="D9" s="807" t="s">
        <v>838</v>
      </c>
      <c r="E9" s="804" t="s">
        <v>832</v>
      </c>
      <c r="F9" s="804" t="s">
        <v>851</v>
      </c>
      <c r="G9" s="804" t="s">
        <v>833</v>
      </c>
      <c r="H9" s="1824" t="s">
        <v>852</v>
      </c>
      <c r="I9" s="1824"/>
      <c r="J9" s="805" t="s">
        <v>834</v>
      </c>
      <c r="K9" s="804" t="s">
        <v>839</v>
      </c>
      <c r="L9" s="804" t="s">
        <v>836</v>
      </c>
      <c r="M9" s="805" t="s">
        <v>902</v>
      </c>
      <c r="N9" s="2397"/>
      <c r="O9" s="911" t="s">
        <v>855</v>
      </c>
      <c r="P9" s="12"/>
      <c r="Q9" s="12"/>
      <c r="R9" s="12"/>
      <c r="S9" s="12"/>
      <c r="T9" s="12"/>
      <c r="U9" s="12"/>
      <c r="V9" s="12"/>
      <c r="W9" s="12"/>
      <c r="X9" s="12"/>
      <c r="Y9" s="12"/>
    </row>
    <row r="10" spans="1:41" s="504" customFormat="1" ht="3" customHeight="1">
      <c r="A10" s="12"/>
      <c r="B10" s="700"/>
      <c r="C10" s="698"/>
      <c r="D10" s="701"/>
      <c r="E10" s="698"/>
      <c r="F10" s="699"/>
      <c r="G10" s="699"/>
      <c r="H10" s="2389"/>
      <c r="I10" s="2389"/>
      <c r="J10" s="701"/>
      <c r="K10" s="701"/>
      <c r="L10" s="701"/>
      <c r="M10" s="701"/>
      <c r="N10" s="160"/>
      <c r="O10" s="161"/>
      <c r="P10" s="12"/>
      <c r="Q10" s="12"/>
      <c r="R10" s="12"/>
      <c r="S10" s="12"/>
      <c r="T10" s="12"/>
      <c r="U10" s="12"/>
      <c r="V10" s="12"/>
      <c r="W10" s="12"/>
      <c r="X10" s="12"/>
      <c r="Y10" s="12"/>
    </row>
    <row r="11" spans="1:41" s="504" customFormat="1" ht="6" customHeight="1">
      <c r="A11" s="12"/>
      <c r="B11" s="164"/>
      <c r="C11" s="164"/>
      <c r="D11" s="164"/>
      <c r="E11" s="164"/>
      <c r="F11" s="164"/>
      <c r="G11" s="164"/>
      <c r="H11" s="164"/>
      <c r="I11" s="164"/>
      <c r="J11" s="164"/>
      <c r="K11" s="164"/>
      <c r="L11" s="164"/>
      <c r="M11" s="164"/>
      <c r="N11" s="12"/>
      <c r="O11" s="12"/>
      <c r="P11" s="12"/>
      <c r="Q11" s="12"/>
      <c r="R11" s="12"/>
      <c r="S11" s="12"/>
      <c r="T11" s="12"/>
      <c r="U11" s="12"/>
      <c r="V11" s="12"/>
      <c r="W11" s="12"/>
      <c r="X11" s="12"/>
      <c r="Y11" s="12"/>
    </row>
    <row r="12" spans="1:41" s="504" customFormat="1">
      <c r="A12" s="12"/>
      <c r="B12" s="2399" t="s">
        <v>903</v>
      </c>
      <c r="C12" s="2400"/>
      <c r="D12" s="2400"/>
      <c r="E12" s="2400"/>
      <c r="F12" s="2400"/>
      <c r="G12" s="2400"/>
      <c r="H12" s="2400"/>
      <c r="I12" s="2400"/>
      <c r="J12" s="2400"/>
      <c r="K12" s="2400"/>
      <c r="L12" s="2400"/>
      <c r="M12" s="2400"/>
      <c r="N12" s="2400"/>
      <c r="O12" s="2401"/>
      <c r="P12" s="12"/>
      <c r="Q12" s="12"/>
      <c r="R12" s="12"/>
      <c r="S12" s="12"/>
      <c r="T12" s="12"/>
      <c r="U12" s="12"/>
      <c r="V12" s="12"/>
      <c r="W12" s="12"/>
      <c r="X12" s="12"/>
      <c r="Y12" s="12"/>
    </row>
    <row r="13" spans="1:41" s="504" customFormat="1" ht="4.5" customHeight="1">
      <c r="A13" s="12"/>
      <c r="B13" s="54"/>
      <c r="C13" s="54"/>
      <c r="D13" s="54"/>
      <c r="E13" s="54"/>
      <c r="F13" s="54"/>
      <c r="G13" s="54"/>
      <c r="H13" s="54"/>
      <c r="I13" s="54"/>
      <c r="J13" s="54"/>
      <c r="K13" s="54"/>
      <c r="L13" s="54"/>
      <c r="M13" s="54"/>
      <c r="N13" s="12"/>
      <c r="O13" s="12"/>
      <c r="P13" s="12"/>
      <c r="Q13" s="12"/>
      <c r="R13" s="12"/>
      <c r="S13" s="12"/>
      <c r="T13" s="12"/>
      <c r="U13" s="12"/>
      <c r="V13" s="12"/>
      <c r="W13" s="12"/>
      <c r="X13" s="12"/>
      <c r="Y13" s="12"/>
    </row>
    <row r="14" spans="1:41" s="504" customFormat="1" ht="3.75" customHeight="1">
      <c r="A14" s="12"/>
      <c r="B14" s="54"/>
      <c r="C14" s="54"/>
      <c r="D14" s="54"/>
      <c r="E14" s="54"/>
      <c r="F14" s="54"/>
      <c r="G14" s="54"/>
      <c r="H14" s="54"/>
      <c r="I14" s="54"/>
      <c r="J14" s="54"/>
      <c r="K14" s="54"/>
      <c r="L14" s="54"/>
      <c r="M14" s="54"/>
      <c r="N14" s="12"/>
      <c r="O14" s="12"/>
      <c r="P14" s="12"/>
      <c r="Q14" s="12"/>
      <c r="R14" s="12"/>
      <c r="S14" s="12"/>
      <c r="T14" s="12"/>
      <c r="U14" s="12"/>
      <c r="V14" s="12"/>
      <c r="W14" s="12"/>
      <c r="X14" s="12"/>
      <c r="Y14" s="12"/>
    </row>
    <row r="15" spans="1:41" s="504" customFormat="1" ht="9.75" customHeight="1">
      <c r="A15" s="12"/>
      <c r="B15" s="2398"/>
      <c r="C15" s="2398"/>
      <c r="D15" s="2398"/>
      <c r="E15" s="2398"/>
      <c r="F15" s="2398"/>
      <c r="G15" s="2398"/>
      <c r="H15" s="2398"/>
      <c r="I15" s="2398"/>
      <c r="J15" s="2398"/>
      <c r="K15" s="2398"/>
      <c r="L15" s="2398"/>
      <c r="M15" s="2398"/>
      <c r="N15" s="2398"/>
      <c r="O15" s="2398"/>
      <c r="P15" s="12"/>
      <c r="Q15" s="12"/>
      <c r="R15" s="12"/>
      <c r="S15" s="12"/>
      <c r="T15" s="12"/>
      <c r="U15" s="12"/>
      <c r="V15" s="12"/>
      <c r="W15" s="12"/>
      <c r="X15" s="12"/>
      <c r="Y15" s="12"/>
    </row>
    <row r="16" spans="1:41" s="506" customFormat="1" ht="15.75" customHeight="1" thickBot="1">
      <c r="A16" s="505"/>
      <c r="B16" s="816" t="s">
        <v>20</v>
      </c>
      <c r="C16" s="2395" t="s">
        <v>862</v>
      </c>
      <c r="D16" s="2395"/>
      <c r="E16" s="2387"/>
      <c r="F16" s="19"/>
      <c r="G16" s="19"/>
      <c r="I16" s="816" t="s">
        <v>21</v>
      </c>
      <c r="J16" s="2387" t="s">
        <v>863</v>
      </c>
      <c r="K16" s="2388"/>
      <c r="L16" s="2388"/>
      <c r="M16" s="44"/>
      <c r="N16" s="20"/>
      <c r="O16" s="20"/>
      <c r="P16" s="505"/>
      <c r="Q16" s="505"/>
      <c r="R16" s="505"/>
      <c r="S16" s="505"/>
      <c r="T16" s="505"/>
      <c r="U16" s="505"/>
      <c r="Y16" s="505"/>
    </row>
    <row r="17" spans="1:25" s="40" customFormat="1" ht="15.75" customHeight="1" thickTop="1" thickBot="1">
      <c r="A17" s="8"/>
      <c r="B17" s="19"/>
      <c r="C17" s="2385" t="s">
        <v>1101</v>
      </c>
      <c r="D17" s="2393"/>
      <c r="E17" s="2394"/>
      <c r="F17" s="1055">
        <v>5.8200000000000002E-2</v>
      </c>
      <c r="G17" s="21"/>
      <c r="H17" s="44"/>
      <c r="J17" s="1858" t="str">
        <f>IF(M17="","Input Homebuyer Downpayment:","Homebuyer Downpayment:")</f>
        <v>Input Homebuyer Downpayment:</v>
      </c>
      <c r="K17" s="1858"/>
      <c r="L17" s="2385"/>
      <c r="M17" s="584"/>
      <c r="N17" s="8"/>
      <c r="O17" s="8"/>
      <c r="P17" s="8"/>
      <c r="Q17" s="8"/>
      <c r="R17" s="8"/>
      <c r="S17" s="8"/>
      <c r="T17" s="8"/>
      <c r="U17" s="8"/>
      <c r="Y17" s="8"/>
    </row>
    <row r="18" spans="1:25" s="40" customFormat="1" ht="15.75" customHeight="1" thickTop="1" thickBot="1">
      <c r="A18" s="8"/>
      <c r="B18" s="44"/>
      <c r="C18" s="2385" t="s">
        <v>1102</v>
      </c>
      <c r="D18" s="2393"/>
      <c r="E18" s="2394"/>
      <c r="F18" s="1056">
        <f>'D-Owner-Occ Housing Expense'!N61</f>
        <v>0</v>
      </c>
      <c r="G18" s="163"/>
      <c r="H18" s="44"/>
      <c r="J18" s="1858" t="str">
        <f>IF(M18="","Input Habitat Affiliate's Cash Contribution:","Habitat Affiliate's Cash Contribution:")</f>
        <v>Input Habitat Affiliate's Cash Contribution:</v>
      </c>
      <c r="K18" s="1858"/>
      <c r="L18" s="2385"/>
      <c r="M18" s="584"/>
      <c r="N18" s="63"/>
      <c r="O18" s="63"/>
      <c r="P18" s="8"/>
      <c r="Q18" s="50"/>
      <c r="R18" s="2378"/>
      <c r="S18" s="2378"/>
      <c r="T18" s="2378"/>
      <c r="U18" s="8"/>
      <c r="Y18" s="8"/>
    </row>
    <row r="19" spans="1:25" s="40" customFormat="1" ht="15.75" customHeight="1" thickTop="1" thickBot="1">
      <c r="A19" s="8"/>
      <c r="B19" s="44"/>
      <c r="C19" s="2385" t="s">
        <v>22</v>
      </c>
      <c r="D19" s="2393"/>
      <c r="E19" s="2394"/>
      <c r="F19" s="1057">
        <f>'D-Owner-Occ Housing Expense'!N62</f>
        <v>0</v>
      </c>
      <c r="G19" s="163"/>
      <c r="H19" s="44"/>
      <c r="J19" s="1858" t="str">
        <f>IF(M19="","Input Other Cash Sources:","Other Cash Sources:")</f>
        <v>Input Other Cash Sources:</v>
      </c>
      <c r="K19" s="1858"/>
      <c r="L19" s="2385"/>
      <c r="M19" s="631"/>
      <c r="N19" s="63"/>
      <c r="O19" s="63"/>
      <c r="P19" s="8"/>
      <c r="Q19" s="8"/>
      <c r="R19" s="2378">
        <f>IF(AND('Project Info and Instructions'!F20="Owner-occupied",'G-Sponsor Provided Financing'!F20=""),1,0)</f>
        <v>0</v>
      </c>
      <c r="S19" s="2378"/>
      <c r="T19" s="2378"/>
      <c r="U19" s="8"/>
      <c r="Y19" s="8"/>
    </row>
    <row r="20" spans="1:25" s="40" customFormat="1" ht="15.75" customHeight="1" thickTop="1" thickBot="1">
      <c r="A20" s="8"/>
      <c r="B20" s="44"/>
      <c r="C20" s="2385" t="str">
        <f>IF(F20="","Input Mortgage Interest Rate:","Mortgage Interest Rate:")</f>
        <v>Input Mortgage Interest Rate:</v>
      </c>
      <c r="D20" s="2393"/>
      <c r="E20" s="2393"/>
      <c r="F20" s="1222"/>
      <c r="G20" s="23"/>
      <c r="H20" s="44"/>
      <c r="J20" s="1982" t="s">
        <v>1100</v>
      </c>
      <c r="K20" s="1982"/>
      <c r="L20" s="1982"/>
      <c r="M20" s="1032" t="str">
        <f>F22</f>
        <v>$0</v>
      </c>
      <c r="N20" s="8"/>
      <c r="O20" s="8"/>
      <c r="P20" s="8"/>
      <c r="Q20" s="8"/>
      <c r="R20" s="40">
        <f>IF(AND('Project Info and Instructions'!F20="Owner-occupied",'G-Sponsor Provided Financing'!M17=""),1,0)</f>
        <v>0</v>
      </c>
      <c r="U20" s="8" t="str">
        <f>IFERROR(IF(F20&lt;&gt;"",(PMT(F20/12,F19,F18)),"$0"),"")</f>
        <v>$0</v>
      </c>
      <c r="Y20" s="8"/>
    </row>
    <row r="21" spans="1:25" s="40" customFormat="1" ht="15.75" customHeight="1" thickTop="1" thickBot="1">
      <c r="A21" s="8"/>
      <c r="B21" s="44"/>
      <c r="C21" s="2385" t="s">
        <v>1103</v>
      </c>
      <c r="D21" s="2393"/>
      <c r="E21" s="2394"/>
      <c r="F21" s="1056">
        <f>IFERROR(ROUND(U20*-1,0),"")</f>
        <v>0</v>
      </c>
      <c r="G21" s="24"/>
      <c r="H21" s="44"/>
      <c r="I21" s="1863" t="s">
        <v>69</v>
      </c>
      <c r="J21" s="1863"/>
      <c r="K21" s="1863"/>
      <c r="L21" s="1863"/>
      <c r="M21" s="1058">
        <f>SUM(M17:M18)+SUM(M19:M20)</f>
        <v>0</v>
      </c>
      <c r="N21" s="8"/>
      <c r="O21" s="8"/>
      <c r="P21" s="8"/>
      <c r="Q21" s="8"/>
      <c r="R21" s="8">
        <f>IF(AND('Project Info and Instructions'!F20="Owner-occupied",'G-Sponsor Provided Financing'!M18=""),1,0)</f>
        <v>0</v>
      </c>
      <c r="S21" s="8"/>
      <c r="T21" s="8"/>
      <c r="U21" s="8"/>
      <c r="Y21" s="8"/>
    </row>
    <row r="22" spans="1:25" s="40" customFormat="1" ht="15.75" customHeight="1" thickTop="1" thickBot="1">
      <c r="A22" s="8"/>
      <c r="B22" s="44"/>
      <c r="C22" s="2386" t="s">
        <v>1100</v>
      </c>
      <c r="D22" s="2386"/>
      <c r="E22" s="2386"/>
      <c r="F22" s="1059" t="str">
        <f>IFERROR(IF(F21&gt;0,(ROUND(PV((F17/12),F19,-F21),0)),"$0"),"")</f>
        <v>$0</v>
      </c>
      <c r="G22" s="25"/>
      <c r="H22" s="19"/>
      <c r="I22" s="19"/>
      <c r="J22" s="19"/>
      <c r="K22" s="19"/>
      <c r="L22" s="19"/>
      <c r="M22" s="8"/>
      <c r="N22" s="8"/>
      <c r="O22" s="8"/>
      <c r="P22" s="8"/>
      <c r="Q22" s="8"/>
      <c r="R22" s="8">
        <f>IF(AND('Project Info and Instructions'!F20="Owner-occupied",'G-Sponsor Provided Financing'!M19=""),1,0)</f>
        <v>0</v>
      </c>
      <c r="S22" s="8"/>
      <c r="T22" s="8"/>
      <c r="U22" s="8"/>
      <c r="Y22" s="8"/>
    </row>
    <row r="23" spans="1:25" s="15" customFormat="1" ht="15.75" customHeight="1" thickTop="1">
      <c r="H23" s="507"/>
      <c r="I23" s="507"/>
      <c r="J23" s="2384" t="s">
        <v>908</v>
      </c>
      <c r="K23" s="2384"/>
      <c r="L23" s="2384"/>
      <c r="M23" s="19"/>
      <c r="N23" s="19"/>
      <c r="V23" s="507"/>
      <c r="W23" s="507"/>
      <c r="X23" s="507"/>
    </row>
    <row r="24" spans="1:25" s="40" customFormat="1" ht="15.75" customHeight="1">
      <c r="A24" s="8"/>
      <c r="C24" s="508"/>
      <c r="G24" s="29"/>
      <c r="J24" s="1858" t="str">
        <f>IF(M24="","Input Land/Acquisition Costs:","Land/Acquisition Costs:")</f>
        <v>Input Land/Acquisition Costs:</v>
      </c>
      <c r="K24" s="1858"/>
      <c r="L24" s="2385"/>
      <c r="M24" s="584"/>
      <c r="N24" s="19"/>
      <c r="O24" s="8"/>
      <c r="P24" s="8"/>
      <c r="Q24" s="8"/>
      <c r="R24" s="8">
        <f>IF(AND('Project Info and Instructions'!F20="Owner-occupied",'G-Sponsor Provided Financing'!M24=""),1,0)</f>
        <v>0</v>
      </c>
      <c r="S24" s="8"/>
      <c r="T24" s="8"/>
      <c r="U24" s="8"/>
    </row>
    <row r="25" spans="1:25" s="40" customFormat="1" ht="15.75" customHeight="1">
      <c r="A25" s="8"/>
      <c r="G25" s="29"/>
      <c r="J25" s="1858" t="str">
        <f>IF(M25="","Input Site Work Costs:","Site Work Costs:")</f>
        <v>Input Site Work Costs:</v>
      </c>
      <c r="K25" s="1858"/>
      <c r="L25" s="2385"/>
      <c r="M25" s="584"/>
      <c r="N25" s="19"/>
      <c r="O25" s="8"/>
      <c r="P25" s="8"/>
      <c r="Q25" s="8"/>
      <c r="R25" s="8">
        <f>IF(AND('Project Info and Instructions'!F20="Owner-occupied",'G-Sponsor Provided Financing'!M25=""),1,0)</f>
        <v>0</v>
      </c>
      <c r="S25" s="8"/>
      <c r="T25" s="8"/>
      <c r="U25" s="8"/>
    </row>
    <row r="26" spans="1:25" s="40" customFormat="1" ht="15.75" customHeight="1">
      <c r="A26" s="8"/>
      <c r="G26" s="29"/>
      <c r="J26" s="1858" t="str">
        <f>IF(M26="","Input Construction Costs:","Construction Costs:")</f>
        <v>Input Construction Costs:</v>
      </c>
      <c r="K26" s="1858"/>
      <c r="L26" s="2385"/>
      <c r="M26" s="584"/>
      <c r="N26" s="19"/>
      <c r="O26" s="8"/>
      <c r="P26" s="8"/>
      <c r="Q26" s="8"/>
      <c r="R26" s="8">
        <f>IF(AND('Project Info and Instructions'!F20="Owner-occupied",'G-Sponsor Provided Financing'!M26=""),1,0)</f>
        <v>0</v>
      </c>
      <c r="S26" s="8"/>
      <c r="T26" s="8"/>
      <c r="U26" s="8"/>
    </row>
    <row r="27" spans="1:25" s="40" customFormat="1" ht="15.75" customHeight="1">
      <c r="A27" s="8"/>
      <c r="G27" s="29"/>
      <c r="J27" s="1858" t="str">
        <f>IF(M27="","Input Survey/Appraisal Costs:","Survey/Appraisal Costs:")</f>
        <v>Input Survey/Appraisal Costs:</v>
      </c>
      <c r="K27" s="1858"/>
      <c r="L27" s="2385"/>
      <c r="M27" s="584"/>
      <c r="N27" s="19"/>
      <c r="O27" s="8"/>
      <c r="P27" s="8"/>
      <c r="Q27" s="8"/>
      <c r="R27" s="8">
        <f>IF(AND('Project Info and Instructions'!F20="Owner-occupied",'G-Sponsor Provided Financing'!M27=""),1,0)</f>
        <v>0</v>
      </c>
      <c r="S27" s="8"/>
      <c r="T27" s="8"/>
      <c r="U27" s="8"/>
    </row>
    <row r="28" spans="1:25" s="40" customFormat="1" ht="15.75" customHeight="1" thickBot="1">
      <c r="A28" s="8"/>
      <c r="G28" s="30"/>
      <c r="J28" s="1858" t="str">
        <f>IF(M28="","Input Insurance Costs:","Insurance Costs:")</f>
        <v>Input Insurance Costs:</v>
      </c>
      <c r="K28" s="1858"/>
      <c r="L28" s="2385"/>
      <c r="M28" s="584"/>
      <c r="N28" s="19"/>
      <c r="O28" s="8"/>
      <c r="P28" s="8"/>
      <c r="Q28" s="8"/>
      <c r="R28" s="8">
        <f>IF(AND('Project Info and Instructions'!F20="Owner-occupied",'G-Sponsor Provided Financing'!M28=""),1,0)</f>
        <v>0</v>
      </c>
      <c r="S28" s="8"/>
      <c r="T28" s="8"/>
      <c r="U28" s="8"/>
      <c r="V28" s="8"/>
      <c r="W28" s="8"/>
      <c r="X28" s="8"/>
    </row>
    <row r="29" spans="1:25" s="40" customFormat="1" ht="15.75" customHeight="1" thickTop="1" thickBot="1">
      <c r="A29" s="8"/>
      <c r="G29" s="32"/>
      <c r="J29" s="1858" t="str">
        <f>IF(M29="","Input Developer Fee:","Developer Fee:")</f>
        <v>Input Developer Fee:</v>
      </c>
      <c r="K29" s="1858"/>
      <c r="L29" s="2385"/>
      <c r="M29" s="630"/>
      <c r="N29" s="1055" t="str">
        <f>IF(M29&lt;&gt;"",(M29/(M31-M29)),"0%")</f>
        <v>0%</v>
      </c>
      <c r="O29" s="8"/>
      <c r="P29" s="8"/>
      <c r="Q29" s="8"/>
      <c r="R29" s="8">
        <f>IF(AND('Project Info and Instructions'!F20="Owner-occupied",'G-Sponsor Provided Financing'!M29=""),1,0)</f>
        <v>0</v>
      </c>
      <c r="S29" s="8"/>
      <c r="T29" s="8"/>
      <c r="U29" s="8"/>
      <c r="V29" s="8"/>
      <c r="W29" s="8"/>
      <c r="X29" s="8"/>
    </row>
    <row r="30" spans="1:25" s="40" customFormat="1" ht="15.75" customHeight="1" thickTop="1" thickBot="1">
      <c r="A30" s="8"/>
      <c r="B30" s="44"/>
      <c r="C30" s="44"/>
      <c r="D30" s="44"/>
      <c r="E30" s="19"/>
      <c r="F30" s="19"/>
      <c r="G30" s="33"/>
      <c r="J30" s="1858" t="str">
        <f>IF(M30="","Input Other Fees:","Other Fees:")</f>
        <v>Input Other Fees:</v>
      </c>
      <c r="K30" s="1858"/>
      <c r="L30" s="2385"/>
      <c r="M30" s="631"/>
      <c r="N30" s="19"/>
      <c r="O30" s="8"/>
      <c r="P30" s="8"/>
      <c r="Q30" s="8"/>
      <c r="R30" s="8">
        <f>IF(AND('Project Info and Instructions'!F20="Owner-occupied",'G-Sponsor Provided Financing'!M30=""),1,0)</f>
        <v>0</v>
      </c>
      <c r="S30" s="8"/>
      <c r="T30" s="8"/>
      <c r="U30" s="8"/>
      <c r="V30" s="8"/>
      <c r="W30" s="8"/>
      <c r="X30" s="8"/>
    </row>
    <row r="31" spans="1:25" s="40" customFormat="1" ht="15.75" customHeight="1" thickTop="1" thickBot="1">
      <c r="A31" s="8"/>
      <c r="B31" s="43"/>
      <c r="C31" s="43"/>
      <c r="D31" s="43"/>
      <c r="E31" s="8"/>
      <c r="F31" s="8"/>
      <c r="G31" s="14"/>
      <c r="I31" s="1863" t="s">
        <v>860</v>
      </c>
      <c r="J31" s="1863"/>
      <c r="K31" s="1863"/>
      <c r="L31" s="1863"/>
      <c r="M31" s="1059">
        <f>SUM(M24:M30)</f>
        <v>0</v>
      </c>
      <c r="N31" s="41"/>
      <c r="O31" s="8"/>
      <c r="P31" s="8"/>
      <c r="Q31" s="8"/>
      <c r="R31" s="8"/>
      <c r="S31" s="8"/>
      <c r="T31" s="8"/>
      <c r="U31" s="8"/>
      <c r="V31" s="8"/>
      <c r="W31" s="8"/>
      <c r="X31" s="8"/>
    </row>
    <row r="32" spans="1:25" s="40" customFormat="1" ht="23.25" customHeight="1" thickTop="1" thickBot="1">
      <c r="A32" s="8"/>
      <c r="B32" s="43"/>
      <c r="C32" s="43"/>
      <c r="D32" s="43"/>
      <c r="E32" s="8"/>
      <c r="F32" s="8"/>
      <c r="G32" s="14"/>
      <c r="I32" s="2379" t="str">
        <f>IF(S32=0,"Must equal total uses from Attachment A(2) - Uses Statement","")</f>
        <v/>
      </c>
      <c r="J32" s="2379"/>
      <c r="K32" s="2379"/>
      <c r="L32" s="2379"/>
      <c r="M32" s="2379"/>
      <c r="N32" s="420"/>
      <c r="O32" s="8"/>
      <c r="P32" s="8"/>
      <c r="Q32" s="8"/>
      <c r="R32" s="8"/>
      <c r="S32" s="8">
        <f>COUNTIF('A(2)-Uses Statement'!M81,'G-Sponsor Provided Financing'!M31)</f>
        <v>1</v>
      </c>
      <c r="T32" s="8"/>
      <c r="U32" s="8"/>
      <c r="V32" s="8"/>
      <c r="W32" s="8"/>
      <c r="X32" s="8"/>
    </row>
    <row r="33" spans="1:25" s="40" customFormat="1" ht="15.75" customHeight="1" thickTop="1" thickBot="1">
      <c r="A33" s="8"/>
      <c r="B33" s="61"/>
      <c r="C33" s="61"/>
      <c r="D33" s="61"/>
      <c r="E33" s="10"/>
      <c r="F33" s="10"/>
      <c r="G33" s="62"/>
      <c r="I33" s="810" t="s">
        <v>23</v>
      </c>
      <c r="J33" s="2382" t="s">
        <v>865</v>
      </c>
      <c r="K33" s="2383"/>
      <c r="L33" s="2383"/>
      <c r="M33" s="1059">
        <f>M31-M21</f>
        <v>0</v>
      </c>
      <c r="N33" s="32"/>
      <c r="O33" s="8"/>
      <c r="P33" s="8"/>
      <c r="Q33" s="8"/>
      <c r="R33" s="8"/>
      <c r="S33" s="8"/>
      <c r="T33" s="8"/>
      <c r="U33" s="8"/>
      <c r="V33" s="894" t="s">
        <v>1123</v>
      </c>
      <c r="W33" s="894" t="s">
        <v>1124</v>
      </c>
      <c r="X33" s="8"/>
      <c r="Y33" s="8"/>
    </row>
    <row r="34" spans="1:25" s="15" customFormat="1" ht="24" customHeight="1" thickTop="1" thickBot="1">
      <c r="F34" s="2391" t="str">
        <f>IF(V34&lt;&gt;W34,"The funding gap must equal the AHP Subsidy Indicated on the Sources Statement","")</f>
        <v/>
      </c>
      <c r="G34" s="2391"/>
      <c r="H34" s="2391"/>
      <c r="I34" s="2391"/>
      <c r="J34" s="2391"/>
      <c r="K34" s="2391"/>
      <c r="L34" s="2391"/>
      <c r="M34" s="2391"/>
      <c r="V34" s="1273">
        <f>ROUND(ABS(M33),0)</f>
        <v>0</v>
      </c>
      <c r="W34" s="1274">
        <f>ROUND('A(1)-Sources Stmt.'!$F$34,0)</f>
        <v>0</v>
      </c>
    </row>
    <row r="35" spans="1:25" s="40" customFormat="1" ht="15.75" customHeight="1" thickTop="1" thickBot="1">
      <c r="A35" s="8"/>
      <c r="I35" s="812" t="s">
        <v>24</v>
      </c>
      <c r="J35" s="2380" t="s">
        <v>864</v>
      </c>
      <c r="K35" s="2381"/>
      <c r="L35" s="2381"/>
      <c r="M35" s="987">
        <f>M33+M21</f>
        <v>0</v>
      </c>
      <c r="P35" s="8"/>
      <c r="Q35" s="8"/>
      <c r="R35" s="8"/>
      <c r="S35" s="8"/>
      <c r="T35" s="8"/>
    </row>
    <row r="36" spans="1:25" s="40" customFormat="1" ht="13.5" customHeight="1" thickTop="1">
      <c r="A36" s="8"/>
      <c r="I36" s="2390" t="str">
        <f>IF(S36=0,"Must equal sources and uses.","")</f>
        <v/>
      </c>
      <c r="J36" s="2390"/>
      <c r="K36" s="2390"/>
      <c r="L36" s="2390"/>
      <c r="M36" s="2390"/>
      <c r="P36" s="8"/>
      <c r="Q36" s="8"/>
      <c r="R36" s="8"/>
      <c r="S36" s="8">
        <f>COUNTIF(M35,'A(1)-Sources Stmt.'!F50)</f>
        <v>1</v>
      </c>
      <c r="T36" s="8"/>
    </row>
    <row r="37" spans="1:25" s="510" customFormat="1" ht="18" customHeight="1">
      <c r="A37" s="509"/>
      <c r="B37" s="34"/>
      <c r="C37" s="34"/>
      <c r="D37" s="34"/>
      <c r="E37" s="29"/>
      <c r="F37" s="31"/>
      <c r="G37" s="27"/>
      <c r="H37" s="29"/>
      <c r="I37" s="1272"/>
      <c r="J37" s="1272"/>
      <c r="K37" s="29"/>
      <c r="L37" s="29"/>
      <c r="M37" s="22"/>
      <c r="N37" s="31"/>
      <c r="O37" s="28"/>
      <c r="P37" s="509"/>
      <c r="Q37" s="509"/>
      <c r="R37" s="509"/>
      <c r="S37" s="509"/>
      <c r="T37" s="509"/>
      <c r="U37" s="509"/>
      <c r="V37" s="509"/>
      <c r="W37" s="509"/>
      <c r="X37" s="509"/>
      <c r="Y37" s="509"/>
    </row>
    <row r="38" spans="1:25" ht="12.75" customHeight="1">
      <c r="B38" s="511"/>
      <c r="C38" s="511"/>
      <c r="D38" s="511"/>
      <c r="E38" s="512"/>
      <c r="F38" s="513"/>
      <c r="G38" s="513"/>
      <c r="H38" s="513"/>
      <c r="I38" s="1272"/>
      <c r="J38" s="1272"/>
      <c r="K38" s="513"/>
      <c r="L38" s="513"/>
    </row>
    <row r="39" spans="1:25" ht="15" customHeight="1">
      <c r="B39" s="514"/>
      <c r="C39" s="514"/>
      <c r="D39" s="514"/>
      <c r="E39" s="515"/>
      <c r="F39" s="515"/>
      <c r="G39" s="515"/>
      <c r="H39" s="515"/>
      <c r="I39" s="515"/>
      <c r="J39" s="515"/>
      <c r="K39" s="515"/>
      <c r="L39" s="515"/>
    </row>
    <row r="40" spans="1:25" ht="15" customHeight="1">
      <c r="B40" s="514"/>
      <c r="C40" s="514"/>
      <c r="D40" s="514"/>
      <c r="E40" s="515"/>
      <c r="F40" s="515"/>
      <c r="G40" s="515"/>
      <c r="H40" s="515"/>
      <c r="I40" s="515"/>
      <c r="J40" s="515"/>
      <c r="K40" s="515"/>
      <c r="L40" s="515"/>
    </row>
    <row r="41" spans="1:25" ht="15" customHeight="1">
      <c r="B41" s="514"/>
      <c r="C41" s="514"/>
      <c r="D41" s="514"/>
      <c r="E41" s="515"/>
      <c r="F41" s="515"/>
      <c r="G41" s="515"/>
      <c r="H41" s="515"/>
      <c r="I41" s="515"/>
      <c r="J41" s="515"/>
      <c r="K41" s="515"/>
      <c r="L41" s="515"/>
    </row>
    <row r="42" spans="1:25" ht="15" customHeight="1">
      <c r="B42" s="514"/>
      <c r="C42" s="514"/>
      <c r="D42" s="514"/>
      <c r="E42" s="515"/>
      <c r="F42" s="515"/>
      <c r="G42" s="515"/>
      <c r="H42" s="515"/>
      <c r="I42" s="515"/>
      <c r="J42" s="515"/>
      <c r="K42" s="515"/>
      <c r="L42" s="515"/>
    </row>
    <row r="43" spans="1:25" ht="15" customHeight="1">
      <c r="B43" s="514"/>
      <c r="C43" s="514"/>
      <c r="D43" s="514"/>
      <c r="E43" s="515"/>
      <c r="F43" s="515"/>
      <c r="G43" s="515"/>
      <c r="H43" s="515"/>
      <c r="I43" s="515"/>
      <c r="J43" s="515"/>
      <c r="K43" s="515"/>
      <c r="L43" s="515"/>
    </row>
    <row r="44" spans="1:25" ht="15" customHeight="1">
      <c r="B44" s="514"/>
      <c r="C44" s="514"/>
      <c r="D44" s="514"/>
      <c r="E44" s="515"/>
      <c r="F44" s="515"/>
      <c r="G44" s="515"/>
      <c r="H44" s="515"/>
      <c r="I44" s="515"/>
      <c r="J44" s="515"/>
      <c r="K44" s="515"/>
      <c r="L44" s="515"/>
    </row>
    <row r="45" spans="1:25" ht="15" customHeight="1">
      <c r="B45" s="514"/>
      <c r="C45" s="514"/>
      <c r="D45" s="514"/>
      <c r="E45" s="515"/>
      <c r="F45" s="515"/>
      <c r="G45" s="515"/>
      <c r="H45" s="515"/>
      <c r="I45" s="515"/>
      <c r="J45" s="515"/>
      <c r="K45" s="515"/>
      <c r="L45" s="515"/>
    </row>
    <row r="46" spans="1:25" ht="15" customHeight="1">
      <c r="B46" s="514"/>
      <c r="C46" s="514"/>
      <c r="D46" s="514"/>
      <c r="E46" s="515"/>
      <c r="F46" s="515"/>
      <c r="G46" s="515"/>
      <c r="H46" s="515"/>
      <c r="I46" s="515"/>
      <c r="J46" s="515"/>
      <c r="K46" s="515"/>
      <c r="L46" s="515"/>
    </row>
    <row r="47" spans="1:25" ht="15" customHeight="1">
      <c r="B47" s="514"/>
      <c r="C47" s="514"/>
      <c r="D47" s="514"/>
      <c r="E47" s="515"/>
      <c r="F47" s="515"/>
      <c r="G47" s="515"/>
      <c r="H47" s="515"/>
      <c r="I47" s="515"/>
      <c r="J47" s="515"/>
      <c r="K47" s="515"/>
      <c r="L47" s="515"/>
    </row>
    <row r="48" spans="1:25" ht="15" customHeight="1">
      <c r="B48" s="514"/>
      <c r="C48" s="514"/>
      <c r="D48" s="514"/>
      <c r="E48" s="515"/>
      <c r="F48" s="515"/>
      <c r="G48" s="515"/>
      <c r="H48" s="515"/>
      <c r="I48" s="515"/>
      <c r="J48" s="515"/>
      <c r="K48" s="515"/>
      <c r="L48" s="515"/>
    </row>
    <row r="49" spans="2:12" ht="15" customHeight="1">
      <c r="B49" s="514"/>
      <c r="C49" s="514"/>
      <c r="D49" s="514"/>
      <c r="E49" s="515"/>
      <c r="F49" s="515"/>
      <c r="G49" s="515"/>
      <c r="H49" s="515"/>
      <c r="I49" s="515"/>
      <c r="J49" s="515"/>
      <c r="K49" s="515"/>
      <c r="L49" s="515"/>
    </row>
    <row r="50" spans="2:12" ht="15" customHeight="1">
      <c r="B50" s="514"/>
      <c r="C50" s="514"/>
      <c r="D50" s="514"/>
      <c r="E50" s="515"/>
      <c r="F50" s="515"/>
      <c r="G50" s="515"/>
      <c r="H50" s="515"/>
      <c r="I50" s="515"/>
      <c r="J50" s="515"/>
      <c r="K50" s="515"/>
      <c r="L50" s="515"/>
    </row>
    <row r="51" spans="2:12" ht="15" customHeight="1">
      <c r="B51" s="514"/>
      <c r="C51" s="514"/>
      <c r="D51" s="514"/>
      <c r="E51" s="515"/>
      <c r="F51" s="515"/>
      <c r="G51" s="515"/>
      <c r="H51" s="515"/>
      <c r="I51" s="515"/>
      <c r="J51" s="515"/>
      <c r="K51" s="515"/>
      <c r="L51" s="515"/>
    </row>
    <row r="52" spans="2:12" ht="15" customHeight="1">
      <c r="B52" s="514"/>
      <c r="C52" s="514"/>
      <c r="D52" s="514"/>
      <c r="E52" s="515"/>
      <c r="F52" s="515"/>
      <c r="G52" s="515"/>
      <c r="H52" s="515"/>
      <c r="I52" s="515"/>
      <c r="J52" s="515"/>
      <c r="K52" s="515"/>
      <c r="L52" s="515"/>
    </row>
    <row r="53" spans="2:12" ht="15" customHeight="1">
      <c r="B53" s="514"/>
      <c r="C53" s="514"/>
      <c r="D53" s="514"/>
      <c r="E53" s="515"/>
      <c r="F53" s="515"/>
      <c r="G53" s="515"/>
      <c r="H53" s="515"/>
      <c r="I53" s="515"/>
      <c r="J53" s="515"/>
      <c r="K53" s="515"/>
      <c r="L53" s="515"/>
    </row>
    <row r="54" spans="2:12" ht="15" customHeight="1"/>
    <row r="55" spans="2:12" ht="15" customHeight="1"/>
    <row r="56" spans="2:12" ht="15" customHeight="1"/>
    <row r="57" spans="2:12" ht="15" customHeight="1"/>
    <row r="58" spans="2:12" ht="15" customHeight="1"/>
    <row r="59" spans="2:12" ht="15" customHeight="1"/>
    <row r="60" spans="2:12" ht="15" customHeight="1"/>
  </sheetData>
  <sheetProtection algorithmName="SHA-512" hashValue="s5Oxjhi+GQr1U2dxEVzw5QVjyyYST9rbe5SIZ6Pbr1lBKJdDgY2nVdxQOGFySRLu3r1nLJ88/bNkO/rWnQ2Kyw==" saltValue="sDbm0ci1gziLFX+knpOHrA==" spinCount="100000" sheet="1" objects="1" scenarios="1" selectLockedCells="1"/>
  <mergeCells count="37">
    <mergeCell ref="I36:M36"/>
    <mergeCell ref="F34:M34"/>
    <mergeCell ref="H1:O1"/>
    <mergeCell ref="N3:O3"/>
    <mergeCell ref="C21:E21"/>
    <mergeCell ref="C20:E20"/>
    <mergeCell ref="C19:E19"/>
    <mergeCell ref="C18:E18"/>
    <mergeCell ref="C17:E17"/>
    <mergeCell ref="C16:E16"/>
    <mergeCell ref="I21:L21"/>
    <mergeCell ref="N8:N9"/>
    <mergeCell ref="B15:O15"/>
    <mergeCell ref="N2:O2"/>
    <mergeCell ref="J17:L17"/>
    <mergeCell ref="B12:O12"/>
    <mergeCell ref="F4:O4"/>
    <mergeCell ref="C22:E22"/>
    <mergeCell ref="J20:L20"/>
    <mergeCell ref="J19:L19"/>
    <mergeCell ref="J18:L18"/>
    <mergeCell ref="J16:L16"/>
    <mergeCell ref="H9:I10"/>
    <mergeCell ref="R19:T19"/>
    <mergeCell ref="R18:T18"/>
    <mergeCell ref="I32:M32"/>
    <mergeCell ref="J35:L35"/>
    <mergeCell ref="J33:L33"/>
    <mergeCell ref="I31:L31"/>
    <mergeCell ref="J23:L23"/>
    <mergeCell ref="J30:L30"/>
    <mergeCell ref="J29:L29"/>
    <mergeCell ref="J28:L28"/>
    <mergeCell ref="J27:L27"/>
    <mergeCell ref="J26:L26"/>
    <mergeCell ref="J25:L25"/>
    <mergeCell ref="J24:L24"/>
  </mergeCells>
  <phoneticPr fontId="0" type="noConversion"/>
  <conditionalFormatting sqref="C20:E20">
    <cfRule type="expression" dxfId="80" priority="23">
      <formula>$C$20="Input Mortgage Interest Rate:"</formula>
    </cfRule>
  </conditionalFormatting>
  <conditionalFormatting sqref="J17">
    <cfRule type="expression" dxfId="79" priority="22">
      <formula>$M$17=""</formula>
    </cfRule>
  </conditionalFormatting>
  <conditionalFormatting sqref="J18">
    <cfRule type="expression" dxfId="78" priority="21">
      <formula>$M$18=""</formula>
    </cfRule>
  </conditionalFormatting>
  <conditionalFormatting sqref="J19">
    <cfRule type="expression" dxfId="77" priority="20">
      <formula>$M$19=""</formula>
    </cfRule>
  </conditionalFormatting>
  <conditionalFormatting sqref="J24:J30">
    <cfRule type="expression" dxfId="76" priority="278">
      <formula>M24=""</formula>
    </cfRule>
  </conditionalFormatting>
  <conditionalFormatting sqref="F4 D6:L6">
    <cfRule type="expression" dxfId="75" priority="1483">
      <formula>$F$4="Input the project name and AHP Project Number at the top of the 'Instructions' tab."</formula>
    </cfRule>
  </conditionalFormatting>
  <dataValidations count="12">
    <dataValidation type="decimal" showInputMessage="1" showErrorMessage="1" error="A numeric value is required." prompt="Input the interest rate of the sponsor provided mortgage. _x000a__x000a_If the Sponsor mortgage will be a 0% loan, enter 0." sqref="F20">
      <formula1>0</formula1>
      <formula2>99.9999</formula2>
    </dataValidation>
    <dataValidation type="decimal" showInputMessage="1" showErrorMessage="1" error="A numeric value is required." prompt="Enter the amount of cash a family is required to provide as a condition of partnership multiplied by the total number of units in the Project." sqref="M17">
      <formula1>0</formula1>
      <formula2>9999999999999.99</formula2>
    </dataValidation>
    <dataValidation type="decimal" showInputMessage="1" showErrorMessage="1" error="A numeric value is required." prompt="Enter the total amount of cash the Sponsor will commit to this Project, including cash on hand, payments from existing mortgages, or fundraising efforts." sqref="M18">
      <formula1>0</formula1>
      <formula2>999999999999.99</formula2>
    </dataValidation>
    <dataValidation type="decimal" showInputMessage="1" showErrorMessage="1" error="A numeric value is required." prompt="Enter the total amount of grants to this Project from other resources, including any cash contributions from foundations, corporations, units of government, individuals, and/or other housing programs." sqref="M19">
      <formula1>0</formula1>
      <formula2>99999999999.99</formula2>
    </dataValidation>
    <dataValidation type="decimal" showInputMessage="1" showErrorMessage="1" error="A numeric value is required." prompt="All costs associated with the conveyance of the project property." sqref="M24">
      <formula1>0</formula1>
      <formula2>9999999999.99</formula2>
    </dataValidation>
    <dataValidation type="decimal" showInputMessage="1" showErrorMessage="1" error="A numeric value is required." prompt="Total cost of any site work or demolition required to prepare the project property for development." sqref="M25">
      <formula1>0</formula1>
      <formula2>99999999999.99</formula2>
    </dataValidation>
    <dataValidation type="decimal" showInputMessage="1" showErrorMessage="1" error="A numeric value is required." prompt="Total cash cost required to construct or rehabilitate the project units, including the cash that will be paid for materials and professional labor." sqref="M26">
      <formula1>0</formula1>
      <formula2>99999999999.99</formula2>
    </dataValidation>
    <dataValidation type="decimal" showInputMessage="1" showErrorMessage="1" error="A numeric value is required." prompt="Total cash cost of any surveys or appraisals that will be completed for a fee in connection with the project." sqref="M27">
      <formula1>0</formula1>
      <formula2>9999999999.99</formula2>
    </dataValidation>
    <dataValidation type="decimal" showInputMessage="1" showErrorMessage="1" error="A numeric value is required." prompt="Total amount to be paid by the sponsor for insurance covering materials and personnel during the construction phase of the project." sqref="M28">
      <formula1>0</formula1>
      <formula2>999999999.99</formula2>
    </dataValidation>
    <dataValidation type="decimal" showInputMessage="1" showErrorMessage="1" error="A numeric value is required." prompt="Enter the total developer's fee the sponsor intends to charge to the project.  Developer's fees are customary for this type of project and may be included to cover items such as the overhead costs incurred by the sponsor in completing the project." sqref="M29">
      <formula1>0</formula1>
      <formula2>9999999999.99</formula2>
    </dataValidation>
    <dataValidation type="decimal" showInputMessage="1" showErrorMessage="1" error="A numeric value is required." prompt="The total amount of other fees associated with the project, including, but not limited to, fees charged for recording and filing, attorney, architect, local permits, and/or real estate transfer taxes." sqref="M30">
      <formula1>0</formula1>
      <formula2>999999999.99</formula2>
    </dataValidation>
    <dataValidation type="custom" allowBlank="1" showInputMessage="1" showErrorMessage="1" sqref="N3:O3 O9 C8:L8 N8:N9 J9:M9 C9:H9">
      <formula1>"&lt;0&gt;0"</formula1>
    </dataValidation>
  </dataValidations>
  <hyperlinks>
    <hyperlink ref="F9" location="'A(3)-Sources and Uses Summary'!M14" display="'A(3)-Sources and Uses Summary'!M14"/>
    <hyperlink ref="E9" location="'A(2)-Uses Statement'!H12" display="'A(2)-Uses Statement'!H12"/>
    <hyperlink ref="D9" location="'A(1)-Sources Stmt.'!D19" display="'A(1)-Sources Stmt.'!D19"/>
    <hyperlink ref="O9" location="'Validation Warnings'!M9" display="'Validation Warnings'!M9"/>
    <hyperlink ref="H9" display="Rental_x000a_Operating_x000a_ProForma"/>
    <hyperlink ref="M9" location="'F-TIV'!Q17" display="'F-TIV'!Q17"/>
    <hyperlink ref="G9" location="'B-Rent Schedule'!D13" display="'B-Rent Schedule'!D13"/>
    <hyperlink ref="L9" location="'E-Feasibility Analysis'!M22" display="'E-Feasibility Analysis'!M22"/>
    <hyperlink ref="K9" location="'D-Owner-Occ Housing Expense'!D14" display="'D-Owner-Occ Housing Expense'!D14"/>
    <hyperlink ref="C9" location="'Project Info and Instructions'!F16" display="Project Info. &amp; Instructions"/>
    <hyperlink ref="H9:I10" location="'C(1)-Rental Operating ProForma'!L16" display="'C(1)-Rental Operating ProForma'!L16"/>
    <hyperlink ref="J9" location="'C(2)-Commercial ProForma'!K16" display="'C(2)-Commercial ProForma'!K16"/>
  </hyperlinks>
  <printOptions horizontalCentered="1"/>
  <pageMargins left="0.75" right="0.75" top="0.75" bottom="0.75" header="0.25" footer="0.5"/>
  <pageSetup scale="76" fitToHeight="2" orientation="landscape" r:id="rId1"/>
  <headerFooter alignWithMargins="0">
    <oddFooter>Page &amp;P of &amp;N</oddFooter>
  </headerFooter>
  <rowBreaks count="1" manualBreakCount="1">
    <brk id="36" max="14" man="1"/>
  </row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339" id="{C8EA3CEE-DDD9-4A35-8A78-6EA6599E5878}">
            <xm:f>'Project Info and Instructions'!$F$20="Owner-occupied"</xm:f>
            <x14:dxf>
              <font>
                <strike/>
                <color theme="0" tint="-0.34998626667073579"/>
              </font>
              <fill>
                <gradientFill degree="90">
                  <stop position="0">
                    <color theme="0" tint="-0.1490218817712943"/>
                  </stop>
                  <stop position="1">
                    <color theme="0" tint="-0.1490218817712943"/>
                  </stop>
                </gradientFill>
              </fill>
            </x14:dxf>
          </x14:cfRule>
          <xm:sqref>H9</xm:sqref>
        </x14:conditionalFormatting>
        <x14:conditionalFormatting xmlns:xm="http://schemas.microsoft.com/office/excel/2006/main">
          <x14:cfRule type="expression" priority="1340" id="{6EF53434-2D86-402C-99C6-34A3E5B84A72}">
            <xm:f>'Project Info and Instructions'!$F$20="Rental"</xm:f>
            <x14:dxf>
              <font>
                <strike/>
                <color theme="0" tint="-0.34998626667073579"/>
              </font>
              <fill>
                <patternFill>
                  <bgColor theme="0" tint="-0.14996795556505021"/>
                </patternFill>
              </fill>
            </x14:dxf>
          </x14:cfRule>
          <x14:cfRule type="expression" priority="1341" id="{43542698-C450-4933-8861-9E9B77B20E43}">
            <xm:f>'Project Info and Instructions'!$K$20="No"</xm:f>
            <x14:dxf>
              <font>
                <strike/>
                <color theme="0" tint="-0.34998626667073579"/>
              </font>
              <fill>
                <patternFill>
                  <bgColor theme="0" tint="-0.14996795556505021"/>
                </patternFill>
              </fill>
            </x14:dxf>
          </x14:cfRule>
          <xm:sqref>N8:N10</xm:sqref>
        </x14:conditionalFormatting>
        <x14:conditionalFormatting xmlns:xm="http://schemas.microsoft.com/office/excel/2006/main">
          <x14:cfRule type="expression" priority="1342" id="{1B8A9EB6-B61D-4300-BEDE-EC647437B145}">
            <xm:f>'Project Info and Instructions'!$F$22="No"</xm:f>
            <x14:dxf>
              <font>
                <strike/>
                <color theme="0" tint="-0.34998626667073579"/>
              </font>
              <fill>
                <patternFill>
                  <bgColor theme="0" tint="-0.14996795556505021"/>
                </patternFill>
              </fill>
            </x14:dxf>
          </x14:cfRule>
          <x14:cfRule type="expression" priority="1343" id="{5E6C7987-9691-4D3D-A285-4F3E33751C3A}">
            <xm:f>'Project Info and Instructions'!$F$20="Owner-occupied"</xm:f>
            <x14:dxf>
              <font>
                <strike/>
                <color theme="0" tint="-0.34998626667073579"/>
              </font>
              <fill>
                <patternFill>
                  <bgColor theme="0" tint="-0.14996795556505021"/>
                </patternFill>
              </fill>
            </x14:dxf>
          </x14:cfRule>
          <xm:sqref>J9</xm:sqref>
        </x14:conditionalFormatting>
        <x14:conditionalFormatting xmlns:xm="http://schemas.microsoft.com/office/excel/2006/main">
          <x14:cfRule type="expression" priority="1345" id="{314FA4B5-1585-46DD-9162-F3F3EB25D828}">
            <xm:f>'Project Info and Instructions'!$M$22="Construction"</xm:f>
            <x14:dxf>
              <font>
                <strike/>
                <color theme="0" tint="-0.34998626667073579"/>
              </font>
              <fill>
                <patternFill>
                  <bgColor theme="0" tint="-0.14996795556505021"/>
                </patternFill>
              </fill>
            </x14:dxf>
          </x14:cfRule>
          <x14:cfRule type="expression" priority="1346" id="{91F7E5F2-1280-41E1-8DA1-9DAD2A88AE36}">
            <xm:f>'Project Info and Instructions'!$F$20="Owner-occupied"</xm:f>
            <x14:dxf>
              <font>
                <strike/>
                <color theme="0" tint="-0.34998626667073579"/>
              </font>
              <fill>
                <patternFill>
                  <bgColor theme="0" tint="-0.14996795556505021"/>
                </patternFill>
              </fill>
            </x14:dxf>
          </x14:cfRule>
          <x14:cfRule type="expression" priority="1347" id="{77B1F94C-E8EB-4166-B34B-C83A9F3B4411}">
            <xm:f>'Project Info and Instructions'!$Q$22="No"</xm:f>
            <x14:dxf>
              <font>
                <strike/>
                <color theme="0" tint="-0.34998626667073579"/>
              </font>
              <fill>
                <patternFill>
                  <bgColor theme="0" tint="-0.14996795556505021"/>
                </patternFill>
              </fill>
            </x14:dxf>
          </x14:cfRule>
          <xm:sqref>M9</xm:sqref>
        </x14:conditionalFormatting>
        <x14:conditionalFormatting xmlns:xm="http://schemas.microsoft.com/office/excel/2006/main">
          <x14:cfRule type="expression" priority="1348" id="{D9B7509F-5B3C-4626-B3B2-8F874FA5CB5E}">
            <xm:f>'Project Info and Instructions'!$F$20="Rental"</xm:f>
            <x14:dxf>
              <font>
                <strike/>
                <color theme="0" tint="-0.34998626667073579"/>
              </font>
              <fill>
                <patternFill>
                  <bgColor theme="0" tint="-0.14996795556505021"/>
                </patternFill>
              </fill>
            </x14:dxf>
          </x14:cfRule>
          <xm:sqref>K9</xm:sqref>
        </x14:conditionalFormatting>
        <x14:conditionalFormatting xmlns:xm="http://schemas.microsoft.com/office/excel/2006/main">
          <x14:cfRule type="expression" priority="1620" id="{48E3FC09-B1F8-4695-8171-BB98E4BBB13E}">
            <xm:f>'Project Info and Instructions'!$V$50&gt;6</xm:f>
            <x14:dxf>
              <font>
                <strike/>
                <color theme="0" tint="-0.34998626667073579"/>
              </font>
              <fill>
                <gradientFill degree="90">
                  <stop position="0">
                    <color theme="0" tint="-0.1490218817712943"/>
                  </stop>
                  <stop position="1">
                    <color theme="0" tint="-0.1490218817712943"/>
                  </stop>
                </gradientFill>
              </fill>
            </x14:dxf>
          </x14:cfRule>
          <xm:sqref>G9</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BD197"/>
  <sheetViews>
    <sheetView showGridLines="0" zoomScale="90" zoomScaleNormal="90" workbookViewId="0">
      <pane ySplit="10" topLeftCell="A131" activePane="bottomLeft" state="frozen"/>
      <selection pane="bottomLeft" activeCell="Z165" sqref="Z165"/>
    </sheetView>
  </sheetViews>
  <sheetFormatPr defaultColWidth="9.140625" defaultRowHeight="12"/>
  <cols>
    <col min="1" max="1" width="2" style="97" customWidth="1"/>
    <col min="2" max="13" width="14.140625" style="40" customWidth="1"/>
    <col min="14" max="14" width="7" style="97" customWidth="1"/>
    <col min="15" max="15" width="5.28515625" style="97" customWidth="1"/>
    <col min="16" max="16" width="10.7109375" style="97" customWidth="1"/>
    <col min="17" max="17" width="5.5703125" style="97" customWidth="1"/>
    <col min="18" max="18" width="9.140625" style="97" customWidth="1"/>
    <col min="19" max="24" width="5.5703125" style="98" customWidth="1"/>
    <col min="25" max="25" width="3" style="98" customWidth="1"/>
    <col min="26" max="26" width="12.140625" style="97" customWidth="1"/>
    <col min="27" max="27" width="8.7109375" style="97" customWidth="1"/>
    <col min="28" max="28" width="29.140625" style="97" customWidth="1"/>
    <col min="29" max="29" width="5.5703125" style="97" customWidth="1"/>
    <col min="30" max="30" width="2" style="97" customWidth="1"/>
    <col min="31" max="35" width="9.140625" style="97" customWidth="1"/>
    <col min="36" max="36" width="28.85546875" style="97" bestFit="1" customWidth="1"/>
    <col min="37" max="37" width="20.28515625" style="97" bestFit="1" customWidth="1"/>
    <col min="38" max="38" width="16.7109375" style="97" bestFit="1" customWidth="1"/>
    <col min="39" max="39" width="22.42578125" style="97" bestFit="1" customWidth="1"/>
    <col min="40" max="40" width="16.42578125" style="97" bestFit="1" customWidth="1"/>
    <col min="41" max="41" width="44.5703125" style="97" bestFit="1" customWidth="1"/>
    <col min="42" max="42" width="40.7109375" style="97" bestFit="1" customWidth="1"/>
    <col min="43" max="43" width="18.85546875" style="97" bestFit="1" customWidth="1"/>
    <col min="44" max="44" width="36.28515625" style="97" bestFit="1" customWidth="1"/>
    <col min="45" max="164" width="9.140625" style="97" customWidth="1"/>
    <col min="165" max="16384" width="9.140625" style="97"/>
  </cols>
  <sheetData>
    <row r="1" spans="2:43" ht="15" customHeight="1">
      <c r="D1" s="1823" t="s">
        <v>849</v>
      </c>
      <c r="E1" s="1823"/>
      <c r="F1" s="1823"/>
      <c r="G1" s="1823"/>
      <c r="H1" s="1823"/>
      <c r="I1" s="1823"/>
      <c r="J1" s="1823"/>
      <c r="K1" s="1823"/>
      <c r="L1" s="1823"/>
      <c r="M1" s="1823"/>
    </row>
    <row r="2" spans="2:43" ht="13.5" customHeight="1">
      <c r="J2" s="1822" t="s">
        <v>671</v>
      </c>
      <c r="K2" s="1822"/>
      <c r="L2" s="1822"/>
      <c r="M2" s="1822"/>
    </row>
    <row r="3" spans="2:43" ht="18" customHeight="1">
      <c r="D3" s="97"/>
      <c r="E3" s="97"/>
      <c r="F3" s="97"/>
      <c r="G3" s="97"/>
      <c r="H3" s="97"/>
      <c r="I3" s="97"/>
      <c r="J3" s="97"/>
      <c r="K3" s="97"/>
      <c r="L3" s="97"/>
      <c r="M3" s="97"/>
    </row>
    <row r="4" spans="2:43" ht="13.5" customHeight="1">
      <c r="B4" s="456"/>
      <c r="C4" s="456"/>
      <c r="J4" s="97"/>
      <c r="K4" s="97"/>
      <c r="L4" s="97"/>
      <c r="M4" s="97"/>
    </row>
    <row r="5" spans="2:43" ht="6.75" customHeight="1"/>
    <row r="6" spans="2:43" ht="15" customHeight="1">
      <c r="B6" s="2"/>
    </row>
    <row r="7" spans="2:43" ht="30.75" customHeight="1">
      <c r="B7" s="2420" t="str">
        <f>IF('Project Info and Instructions'!W35&gt;0,"Input the project name and AHP Project Number at the top of the 'Instructions' tab.",'Project Info and Instructions'!F18&amp;" - "&amp;'Project Info and Instructions'!F16)</f>
        <v>Input the project name and AHP Project Number at the top of the 'Instructions' tab.</v>
      </c>
      <c r="C7" s="2420"/>
      <c r="D7" s="2420"/>
      <c r="E7" s="2420"/>
      <c r="F7" s="2420"/>
      <c r="G7" s="2420"/>
      <c r="H7" s="2420"/>
      <c r="I7" s="2420"/>
      <c r="J7" s="2420"/>
      <c r="K7" s="2420"/>
      <c r="L7" s="2420"/>
      <c r="M7" s="2420"/>
    </row>
    <row r="8" spans="2:43" ht="3.75" customHeight="1">
      <c r="B8" s="8"/>
      <c r="C8" s="8"/>
      <c r="D8" s="452"/>
      <c r="G8" s="61"/>
      <c r="H8" s="61"/>
      <c r="I8" s="61"/>
      <c r="J8" s="61"/>
      <c r="K8" s="61"/>
      <c r="M8" s="1906" t="s">
        <v>861</v>
      </c>
    </row>
    <row r="9" spans="2:43" ht="36.75" customHeight="1">
      <c r="B9" s="663" t="s">
        <v>937</v>
      </c>
      <c r="C9" s="663" t="s">
        <v>838</v>
      </c>
      <c r="D9" s="663" t="s">
        <v>832</v>
      </c>
      <c r="E9" s="663" t="s">
        <v>851</v>
      </c>
      <c r="F9" s="663" t="s">
        <v>833</v>
      </c>
      <c r="G9" s="665" t="s">
        <v>852</v>
      </c>
      <c r="H9" s="663" t="s">
        <v>834</v>
      </c>
      <c r="I9" s="663" t="s">
        <v>839</v>
      </c>
      <c r="J9" s="663" t="s">
        <v>836</v>
      </c>
      <c r="K9" s="665" t="s">
        <v>902</v>
      </c>
      <c r="L9" s="665" t="s">
        <v>837</v>
      </c>
      <c r="M9" s="1907"/>
    </row>
    <row r="10" spans="2:43" ht="3.75" customHeight="1">
      <c r="B10" s="276"/>
      <c r="C10" s="276"/>
      <c r="D10" s="453"/>
      <c r="E10" s="453"/>
      <c r="F10" s="453"/>
      <c r="G10" s="453"/>
      <c r="H10" s="453"/>
      <c r="I10" s="453"/>
      <c r="J10" s="453"/>
      <c r="K10" s="453"/>
      <c r="L10" s="454"/>
      <c r="M10" s="209"/>
      <c r="N10" s="455"/>
    </row>
    <row r="11" spans="2:43" ht="3.75" customHeight="1"/>
    <row r="12" spans="2:43" ht="6" customHeight="1">
      <c r="B12" s="2411" t="s">
        <v>850</v>
      </c>
      <c r="C12" s="2412"/>
      <c r="D12" s="2412"/>
      <c r="E12" s="2412"/>
      <c r="F12" s="2412"/>
      <c r="G12" s="2412"/>
      <c r="H12" s="2412"/>
      <c r="I12" s="2412"/>
      <c r="J12" s="2412"/>
      <c r="K12" s="2412"/>
      <c r="L12" s="2412"/>
      <c r="M12" s="2413"/>
    </row>
    <row r="13" spans="2:43" ht="6" customHeight="1">
      <c r="B13" s="2414"/>
      <c r="C13" s="2415"/>
      <c r="D13" s="2415"/>
      <c r="E13" s="2415"/>
      <c r="F13" s="2415"/>
      <c r="G13" s="2415"/>
      <c r="H13" s="2415"/>
      <c r="I13" s="2415"/>
      <c r="J13" s="2415"/>
      <c r="K13" s="2415"/>
      <c r="L13" s="2415"/>
      <c r="M13" s="2416"/>
    </row>
    <row r="14" spans="2:43" ht="6" customHeight="1">
      <c r="B14" s="2417"/>
      <c r="C14" s="2418"/>
      <c r="D14" s="2418"/>
      <c r="E14" s="2418"/>
      <c r="F14" s="2418"/>
      <c r="G14" s="2418"/>
      <c r="H14" s="2418"/>
      <c r="I14" s="2418"/>
      <c r="J14" s="2418"/>
      <c r="K14" s="2418"/>
      <c r="L14" s="2418"/>
      <c r="M14" s="2419"/>
    </row>
    <row r="15" spans="2:43" ht="4.5" customHeight="1"/>
    <row r="16" spans="2:43" ht="17.25" thickBot="1">
      <c r="B16" s="2421" t="s">
        <v>816</v>
      </c>
      <c r="C16" s="2421"/>
      <c r="D16" s="2421"/>
      <c r="E16" s="2421"/>
      <c r="F16" s="2421"/>
      <c r="G16" s="456"/>
      <c r="H16" s="456"/>
      <c r="I16" s="456"/>
      <c r="J16" s="456"/>
      <c r="K16" s="456"/>
      <c r="L16" s="456"/>
      <c r="M16" s="456"/>
      <c r="N16" s="457"/>
      <c r="O16" s="457"/>
      <c r="P16" s="457"/>
      <c r="AE16" s="97">
        <v>1</v>
      </c>
      <c r="AK16" s="120" t="s">
        <v>821</v>
      </c>
      <c r="AL16" s="120" t="s">
        <v>822</v>
      </c>
      <c r="AM16" s="120" t="s">
        <v>823</v>
      </c>
      <c r="AN16" s="120" t="s">
        <v>830</v>
      </c>
      <c r="AO16" s="120" t="s">
        <v>831</v>
      </c>
      <c r="AP16" s="120" t="s">
        <v>29</v>
      </c>
      <c r="AQ16" s="120" t="s">
        <v>732</v>
      </c>
    </row>
    <row r="17" spans="2:56" ht="12" customHeight="1" thickTop="1">
      <c r="B17" s="2408" t="str">
        <f>IF($T$17&gt;=Y17,(VLOOKUP(Y17,$V$17:$Z$27,5,FALSE))," ")</f>
        <v xml:space="preserve"> </v>
      </c>
      <c r="C17" s="2409"/>
      <c r="D17" s="2409"/>
      <c r="E17" s="2409"/>
      <c r="F17" s="2409"/>
      <c r="G17" s="2409"/>
      <c r="H17" s="2409"/>
      <c r="I17" s="2409"/>
      <c r="J17" s="2409"/>
      <c r="K17" s="2409"/>
      <c r="L17" s="2409"/>
      <c r="M17" s="2410"/>
      <c r="Q17" s="97">
        <f>IF(B17=" ",1,0)</f>
        <v>1</v>
      </c>
      <c r="S17" s="98">
        <f>SUM(X17:X27)</f>
        <v>0</v>
      </c>
      <c r="T17" s="98">
        <f>MAX(V17:V27)</f>
        <v>0</v>
      </c>
      <c r="U17" s="98">
        <f>RANK(V17,V17:V27)</f>
        <v>1</v>
      </c>
      <c r="V17" s="98">
        <f>IF(W17&gt;0,W17,0)</f>
        <v>0</v>
      </c>
      <c r="W17" s="98">
        <f>X17</f>
        <v>0</v>
      </c>
      <c r="X17" s="98">
        <f>IF(Z17=" ",0,1)</f>
        <v>0</v>
      </c>
      <c r="Y17" s="98">
        <v>1</v>
      </c>
      <c r="Z17" s="458" t="str">
        <f>IF('A(1)-Sources Stmt.'!AM19,"It was not indicated whether or not the sponsor is providing financing for the owner-occupied project."," ")</f>
        <v xml:space="preserve"> </v>
      </c>
      <c r="AK17" s="118" t="str">
        <f>'A(1)-Sources Stmt.'!AQ75</f>
        <v/>
      </c>
      <c r="AL17" s="118" t="str">
        <f>'A(1)-Sources Stmt.'!AR75</f>
        <v/>
      </c>
      <c r="AM17" s="237" t="str">
        <f>'A(1)-Sources Stmt.'!AS75</f>
        <v/>
      </c>
      <c r="AN17" s="118" t="str">
        <f>'A(1)-Sources Stmt.'!AY53</f>
        <v/>
      </c>
      <c r="AO17" s="118" t="str">
        <f>'A(1)-Sources Stmt.'!AZ53</f>
        <v/>
      </c>
      <c r="AP17" s="118" t="str">
        <f>'A(1)-Sources Stmt.'!BA53</f>
        <v/>
      </c>
      <c r="AQ17" s="118" t="str">
        <f>'A(1)-Sources Stmt.'!BC75</f>
        <v/>
      </c>
      <c r="AR17" s="118" t="str">
        <f>'A(1)-Sources Stmt.'!BB53</f>
        <v/>
      </c>
      <c r="BD17" s="97">
        <f>COUNTIF(B17:B27,"&lt;&gt;"&amp;" ")</f>
        <v>0</v>
      </c>
    </row>
    <row r="18" spans="2:56" ht="12" customHeight="1">
      <c r="B18" s="2405" t="str">
        <f>IF($T$17&gt;=Y18,(VLOOKUP(Y18,$V$17:$Z$27,5,FALSE))," ")</f>
        <v xml:space="preserve"> </v>
      </c>
      <c r="C18" s="2406"/>
      <c r="D18" s="2406"/>
      <c r="E18" s="2406"/>
      <c r="F18" s="2406"/>
      <c r="G18" s="2406"/>
      <c r="H18" s="2406"/>
      <c r="I18" s="2406"/>
      <c r="J18" s="2406"/>
      <c r="K18" s="2406"/>
      <c r="L18" s="2406"/>
      <c r="M18" s="2407"/>
      <c r="Q18" s="97">
        <f t="shared" ref="Q18:Q27" si="0">IF(B18=" ",1,0)</f>
        <v>1</v>
      </c>
      <c r="V18" s="98">
        <f>IF(W18&gt;0,X18+X17,0)</f>
        <v>0</v>
      </c>
      <c r="W18" s="98">
        <f t="shared" ref="W18:W27" si="1">IF(X18&gt;0,W17+X18,0)</f>
        <v>0</v>
      </c>
      <c r="X18" s="98">
        <f t="shared" ref="X18:X24" si="2">IF(Z18=" ",0,1)</f>
        <v>0</v>
      </c>
      <c r="Y18" s="98">
        <v>2</v>
      </c>
      <c r="Z18" s="459" t="str">
        <f>IF(AK20&gt;0,"An interest rate was not indicated for one or more loans listed on the Sources Statement."," ")</f>
        <v xml:space="preserve"> </v>
      </c>
      <c r="AK18" s="118" t="str">
        <f>'A(1)-Sources Stmt.'!AQ94</f>
        <v/>
      </c>
      <c r="AL18" s="118" t="str">
        <f>'A(1)-Sources Stmt.'!AR94</f>
        <v/>
      </c>
      <c r="AM18" s="237" t="str">
        <f>'A(1)-Sources Stmt.'!AS94</f>
        <v/>
      </c>
      <c r="AN18" s="118" t="str">
        <f>'A(1)-Sources Stmt.'!AY75</f>
        <v/>
      </c>
      <c r="AO18" s="118" t="str">
        <f>'A(1)-Sources Stmt.'!AZ75</f>
        <v/>
      </c>
      <c r="AP18" s="118" t="str">
        <f>'A(1)-Sources Stmt.'!BA75</f>
        <v/>
      </c>
      <c r="AQ18" s="118" t="str">
        <f>'A(1)-Sources Stmt.'!BC94</f>
        <v/>
      </c>
      <c r="AR18" s="118" t="str">
        <f>'A(1)-Sources Stmt.'!BB75</f>
        <v/>
      </c>
    </row>
    <row r="19" spans="2:56" ht="12" customHeight="1">
      <c r="B19" s="2405" t="str">
        <f t="shared" ref="B19:B27" si="3">IF($T$17&gt;=Y19,(VLOOKUP(Y19,$V$17:$Z$27,5,FALSE))," ")</f>
        <v xml:space="preserve"> </v>
      </c>
      <c r="C19" s="2406"/>
      <c r="D19" s="2406"/>
      <c r="E19" s="2406"/>
      <c r="F19" s="2406"/>
      <c r="G19" s="2406"/>
      <c r="H19" s="2406"/>
      <c r="I19" s="2406"/>
      <c r="J19" s="2406"/>
      <c r="K19" s="2406"/>
      <c r="L19" s="2406"/>
      <c r="M19" s="2407"/>
      <c r="Q19" s="97">
        <f t="shared" si="0"/>
        <v>1</v>
      </c>
      <c r="V19" s="98">
        <f>IF(W19&gt;0,X19+X18+X17,0)</f>
        <v>0</v>
      </c>
      <c r="W19" s="98">
        <f t="shared" si="1"/>
        <v>0</v>
      </c>
      <c r="X19" s="98">
        <f t="shared" si="2"/>
        <v>0</v>
      </c>
      <c r="Y19" s="98">
        <v>3</v>
      </c>
      <c r="Z19" s="458" t="str">
        <f>IF(AL20&gt;0,"A loan term (in months) was not indicated for one or more permanent loans listed on the Sources Statement."," ")</f>
        <v xml:space="preserve"> </v>
      </c>
      <c r="AK19" s="97" t="str">
        <f>'A(1)-Sources Stmt.'!AQ94</f>
        <v/>
      </c>
      <c r="AL19" s="118" t="str">
        <f>'A(1)-Sources Stmt.'!AR94</f>
        <v/>
      </c>
      <c r="AM19" s="118" t="str">
        <f>'A(1)-Sources Stmt.'!AS94</f>
        <v/>
      </c>
      <c r="AN19" s="118" t="str">
        <f>'A(1)-Sources Stmt.'!AY94</f>
        <v/>
      </c>
      <c r="AO19" s="118" t="str">
        <f>'A(1)-Sources Stmt.'!AZ94</f>
        <v/>
      </c>
      <c r="AP19" s="118" t="str">
        <f>'A(1)-Sources Stmt.'!BA94</f>
        <v/>
      </c>
      <c r="AQ19" s="118" t="str">
        <f>'A(1)-Sources Stmt.'!BC53</f>
        <v/>
      </c>
      <c r="AR19" s="118" t="str">
        <f>'A(1)-Sources Stmt.'!BB94</f>
        <v/>
      </c>
    </row>
    <row r="20" spans="2:56" ht="12" customHeight="1">
      <c r="B20" s="2405" t="str">
        <f t="shared" si="3"/>
        <v xml:space="preserve"> </v>
      </c>
      <c r="C20" s="2406"/>
      <c r="D20" s="2406"/>
      <c r="E20" s="2406"/>
      <c r="F20" s="2406"/>
      <c r="G20" s="2406"/>
      <c r="H20" s="2406"/>
      <c r="I20" s="2406"/>
      <c r="J20" s="2406"/>
      <c r="K20" s="2406"/>
      <c r="L20" s="2406"/>
      <c r="M20" s="2407"/>
      <c r="Q20" s="97">
        <f t="shared" si="0"/>
        <v>1</v>
      </c>
      <c r="V20" s="98">
        <f>IF(W20&gt;0,X20+X19+X18+X17,0)</f>
        <v>0</v>
      </c>
      <c r="W20" s="98">
        <f t="shared" si="1"/>
        <v>0</v>
      </c>
      <c r="X20" s="98">
        <f t="shared" si="2"/>
        <v>0</v>
      </c>
      <c r="Y20" s="98">
        <v>4</v>
      </c>
      <c r="Z20" s="458" t="str">
        <f>IF(AM20&gt;0,"A loan amortization (in months) was not indicated for one or more non-deferred permanent loans listed on the Sources Statement."," ")</f>
        <v xml:space="preserve"> </v>
      </c>
      <c r="AK20" s="460">
        <f>COUNTIF(AK17:AK18,"An interest rate was not indicated for one or permanent loans listed on the Sources Statement.")</f>
        <v>0</v>
      </c>
      <c r="AL20" s="460">
        <f>COUNTIF(AL17:AL18,"A loan term (in months) was not indicated for one or permanent loans listed on the Sources Statement.")</f>
        <v>0</v>
      </c>
      <c r="AM20" s="460">
        <f>COUNTIF(AM17:AM18,"A loan amortization (in months) was not indicated for one or permanent loans listed on the Sources Statement.")</f>
        <v>0</v>
      </c>
      <c r="AN20" s="460">
        <f>COUNTIF(AN17:AN19,"A source type was not selected for all listed sources.")</f>
        <v>0</v>
      </c>
      <c r="AO20" s="460">
        <f>COUNTIF(AO17:AO19,"A source description was not selected for all listed sources.")</f>
        <v>0</v>
      </c>
      <c r="AP20" s="460">
        <f>COUNTIF(AP17:AP19,"A source status was not selected for all listed sources.")</f>
        <v>0</v>
      </c>
      <c r="AQ20" s="460">
        <f>COUNTIF(AQ17:AQ19,"A source amount must be indicated for all listed sources.")</f>
        <v>0</v>
      </c>
      <c r="AR20" s="460">
        <f>COUNTIF(AR17:AR19,"A source name must be provided for all sources.")</f>
        <v>0</v>
      </c>
    </row>
    <row r="21" spans="2:56" ht="12" customHeight="1">
      <c r="B21" s="2405" t="str">
        <f t="shared" si="3"/>
        <v xml:space="preserve"> </v>
      </c>
      <c r="C21" s="2406"/>
      <c r="D21" s="2406"/>
      <c r="E21" s="2406"/>
      <c r="F21" s="2406"/>
      <c r="G21" s="2406"/>
      <c r="H21" s="2406"/>
      <c r="I21" s="2406"/>
      <c r="J21" s="2406"/>
      <c r="K21" s="2406"/>
      <c r="L21" s="2406"/>
      <c r="M21" s="2407"/>
      <c r="Q21" s="97">
        <f t="shared" si="0"/>
        <v>1</v>
      </c>
      <c r="V21" s="98">
        <f>IF(W21&gt;0,X21+X20+X19+X18+X17,0)</f>
        <v>0</v>
      </c>
      <c r="W21" s="98">
        <f t="shared" si="1"/>
        <v>0</v>
      </c>
      <c r="X21" s="98">
        <f t="shared" si="2"/>
        <v>0</v>
      </c>
      <c r="Y21" s="98">
        <v>5</v>
      </c>
      <c r="Z21" s="458" t="str">
        <f>IF(AN20&gt;0,"A source type was not selected for all listed sources."," ")</f>
        <v xml:space="preserve"> </v>
      </c>
      <c r="AB21" s="98"/>
      <c r="AC21" s="98"/>
    </row>
    <row r="22" spans="2:56" ht="12" customHeight="1">
      <c r="B22" s="2405" t="str">
        <f t="shared" si="3"/>
        <v xml:space="preserve"> </v>
      </c>
      <c r="C22" s="2406"/>
      <c r="D22" s="2406"/>
      <c r="E22" s="2406"/>
      <c r="F22" s="2406"/>
      <c r="G22" s="2406"/>
      <c r="H22" s="2406"/>
      <c r="I22" s="2406"/>
      <c r="J22" s="2406"/>
      <c r="K22" s="2406"/>
      <c r="L22" s="2406"/>
      <c r="M22" s="2407"/>
      <c r="Q22" s="97">
        <f t="shared" si="0"/>
        <v>1</v>
      </c>
      <c r="V22" s="98">
        <f>IF(W22&gt;0,X22+X21+X20+X19+X18+X17,0)</f>
        <v>0</v>
      </c>
      <c r="W22" s="98">
        <f t="shared" si="1"/>
        <v>0</v>
      </c>
      <c r="X22" s="98">
        <f t="shared" si="2"/>
        <v>0</v>
      </c>
      <c r="Y22" s="98">
        <v>6</v>
      </c>
      <c r="Z22" s="458" t="str">
        <f>IF(AO20&gt;0,"A source description was not selected for all listed sources."," ")</f>
        <v xml:space="preserve"> </v>
      </c>
    </row>
    <row r="23" spans="2:56" ht="12" customHeight="1">
      <c r="B23" s="2405" t="str">
        <f t="shared" si="3"/>
        <v xml:space="preserve"> </v>
      </c>
      <c r="C23" s="2406"/>
      <c r="D23" s="2406"/>
      <c r="E23" s="2406"/>
      <c r="F23" s="2406"/>
      <c r="G23" s="2406"/>
      <c r="H23" s="2406"/>
      <c r="I23" s="2406"/>
      <c r="J23" s="2406"/>
      <c r="K23" s="2406"/>
      <c r="L23" s="2406"/>
      <c r="M23" s="2407"/>
      <c r="Q23" s="97">
        <f t="shared" si="0"/>
        <v>1</v>
      </c>
      <c r="V23" s="98">
        <f>IF(W23&gt;0,X23+X22+X21+X20+X19+X18+X17,0)</f>
        <v>0</v>
      </c>
      <c r="W23" s="98">
        <f t="shared" si="1"/>
        <v>0</v>
      </c>
      <c r="X23" s="98">
        <f t="shared" si="2"/>
        <v>0</v>
      </c>
      <c r="Y23" s="98">
        <v>7</v>
      </c>
      <c r="Z23" s="458" t="str">
        <f>IF(AP20&gt;0,"A source status was not selected for all listed sources."," ")</f>
        <v xml:space="preserve"> </v>
      </c>
      <c r="AH23" s="97" t="s">
        <v>946</v>
      </c>
      <c r="AI23" s="97" t="s">
        <v>947</v>
      </c>
    </row>
    <row r="24" spans="2:56" ht="12" customHeight="1">
      <c r="B24" s="2405" t="str">
        <f t="shared" si="3"/>
        <v xml:space="preserve"> </v>
      </c>
      <c r="C24" s="2406"/>
      <c r="D24" s="2406"/>
      <c r="E24" s="2406"/>
      <c r="F24" s="2406"/>
      <c r="G24" s="2406"/>
      <c r="H24" s="2406"/>
      <c r="I24" s="2406"/>
      <c r="J24" s="2406"/>
      <c r="K24" s="2406"/>
      <c r="L24" s="2406"/>
      <c r="M24" s="2407"/>
      <c r="Q24" s="97">
        <f t="shared" si="0"/>
        <v>1</v>
      </c>
      <c r="V24" s="98">
        <f>IF(W24&gt;0,X24+X23+X22+X21+X20+X19+X18+X17,0)</f>
        <v>0</v>
      </c>
      <c r="W24" s="98">
        <f t="shared" si="1"/>
        <v>0</v>
      </c>
      <c r="X24" s="98">
        <f t="shared" si="2"/>
        <v>0</v>
      </c>
      <c r="Y24" s="98">
        <v>8</v>
      </c>
      <c r="Z24" s="458" t="str">
        <f>IF(AQ20&gt;0,"A source amount must be indicated for all listed sources."," ")</f>
        <v xml:space="preserve"> </v>
      </c>
      <c r="AH24" s="97" t="str">
        <f>'Project Info and Instructions'!$F$22</f>
        <v>Select 'Yes' or 'No'</v>
      </c>
      <c r="AI24" s="97">
        <f>SUM('A(1)-Sources Stmt.'!O35:O49)</f>
        <v>0</v>
      </c>
    </row>
    <row r="25" spans="2:56" ht="12" customHeight="1">
      <c r="B25" s="2405" t="str">
        <f t="shared" si="3"/>
        <v xml:space="preserve"> </v>
      </c>
      <c r="C25" s="2406"/>
      <c r="D25" s="2406"/>
      <c r="E25" s="2406"/>
      <c r="F25" s="2406"/>
      <c r="G25" s="2406"/>
      <c r="H25" s="2406"/>
      <c r="I25" s="2406"/>
      <c r="J25" s="2406"/>
      <c r="K25" s="2406"/>
      <c r="L25" s="2406"/>
      <c r="M25" s="2407"/>
      <c r="Q25" s="97">
        <f t="shared" si="0"/>
        <v>1</v>
      </c>
      <c r="V25" s="98">
        <f>IF(W25&gt;0,X25+X24+X23+X22+X21+X20+X19+X18+X17,0)</f>
        <v>0</v>
      </c>
      <c r="W25" s="98">
        <f t="shared" si="1"/>
        <v>0</v>
      </c>
      <c r="X25" s="98">
        <f>IF(Z25=" ",0,1)</f>
        <v>0</v>
      </c>
      <c r="Y25" s="98">
        <v>9</v>
      </c>
      <c r="Z25" s="458" t="str">
        <f>IF(AND('Project Info and Instructions'!F20="Owner-occupied",'A(1)-Sources Stmt.'!H15="Yes",'A(1)-Sources Stmt.'!F50&lt;&gt;'A(1)-Sources Stmt.'!F73),"Total permanent financing with NPV Sources Statement must equal total permanent financing without NPV Sources Statement"," ")</f>
        <v xml:space="preserve"> </v>
      </c>
    </row>
    <row r="26" spans="2:56" ht="12" customHeight="1">
      <c r="B26" s="2405" t="str">
        <f t="shared" si="3"/>
        <v xml:space="preserve"> </v>
      </c>
      <c r="C26" s="2406"/>
      <c r="D26" s="2406"/>
      <c r="E26" s="2406"/>
      <c r="F26" s="2406"/>
      <c r="G26" s="2406"/>
      <c r="H26" s="2406"/>
      <c r="I26" s="2406"/>
      <c r="J26" s="2406"/>
      <c r="K26" s="2406"/>
      <c r="L26" s="2406"/>
      <c r="M26" s="2407"/>
      <c r="Q26" s="97">
        <f t="shared" si="0"/>
        <v>1</v>
      </c>
      <c r="S26" s="97"/>
      <c r="T26" s="97"/>
      <c r="U26" s="97"/>
      <c r="V26" s="98">
        <f>IF(W26&gt;0,X26+X25+X24+X23+X22+X21+X20+X19+X18+X17,0)</f>
        <v>0</v>
      </c>
      <c r="W26" s="98">
        <f t="shared" si="1"/>
        <v>0</v>
      </c>
      <c r="X26" s="98">
        <f>IF(Z26=" ",0,1)</f>
        <v>0</v>
      </c>
      <c r="Y26" s="98">
        <v>10</v>
      </c>
      <c r="Z26" s="463" t="str">
        <f>IF(AR20&gt;0,"A source name was not provided for all sources."," ")</f>
        <v xml:space="preserve"> </v>
      </c>
    </row>
    <row r="27" spans="2:56" ht="12" customHeight="1" thickBot="1">
      <c r="B27" s="2402" t="str">
        <f t="shared" si="3"/>
        <v xml:space="preserve"> </v>
      </c>
      <c r="C27" s="2403"/>
      <c r="D27" s="2403"/>
      <c r="E27" s="2403"/>
      <c r="F27" s="2403"/>
      <c r="G27" s="2403"/>
      <c r="H27" s="2403"/>
      <c r="I27" s="2403"/>
      <c r="J27" s="2403"/>
      <c r="K27" s="2403"/>
      <c r="L27" s="2403"/>
      <c r="M27" s="2404"/>
      <c r="Q27" s="97">
        <f t="shared" si="0"/>
        <v>1</v>
      </c>
      <c r="S27" s="97"/>
      <c r="T27" s="97"/>
      <c r="U27" s="97"/>
      <c r="V27" s="98">
        <f>IF(W27&gt;0,X27+X26+X25+X24+X23+X22+X21+X20+X19+X18+X17,0)</f>
        <v>0</v>
      </c>
      <c r="W27" s="98">
        <f t="shared" si="1"/>
        <v>0</v>
      </c>
      <c r="X27" s="98">
        <f>IF(Z27=" ",0,1)</f>
        <v>0</v>
      </c>
      <c r="Y27" s="98">
        <v>11</v>
      </c>
      <c r="Z27" s="463" t="str">
        <f>IF(AND(AH24="Yes",AI24=0),"Project includes commercial space but the percent of permanent financing allocated to commercial space was not indicated."," ")</f>
        <v xml:space="preserve"> </v>
      </c>
    </row>
    <row r="28" spans="2:56" ht="12.75" thickTop="1"/>
    <row r="29" spans="2:56" ht="17.25" thickBot="1">
      <c r="B29" s="2421" t="s">
        <v>790</v>
      </c>
      <c r="C29" s="2421"/>
      <c r="D29" s="2421"/>
      <c r="E29" s="2421"/>
      <c r="F29" s="456"/>
      <c r="G29" s="456"/>
      <c r="H29" s="456"/>
      <c r="I29" s="456"/>
      <c r="J29" s="456"/>
      <c r="K29" s="456"/>
      <c r="L29" s="456"/>
      <c r="M29" s="456"/>
      <c r="N29" s="457"/>
      <c r="O29" s="457"/>
      <c r="P29" s="457"/>
      <c r="Z29" s="98" t="s">
        <v>840</v>
      </c>
      <c r="AA29" s="98" t="s">
        <v>841</v>
      </c>
    </row>
    <row r="30" spans="2:56" ht="12" customHeight="1" thickTop="1">
      <c r="B30" s="2408" t="str">
        <f>IF($T$30&gt;=Y30,(VLOOKUP(Y30,$V$29:$AB$41,7,FALSE))," ")</f>
        <v>Total Housing and/or commercial square feet has not been indicated.</v>
      </c>
      <c r="C30" s="2409"/>
      <c r="D30" s="2409"/>
      <c r="E30" s="2409"/>
      <c r="F30" s="2409"/>
      <c r="G30" s="2409"/>
      <c r="H30" s="2409"/>
      <c r="I30" s="2409"/>
      <c r="J30" s="2409"/>
      <c r="K30" s="2409"/>
      <c r="L30" s="2409"/>
      <c r="M30" s="2410"/>
      <c r="S30" s="98">
        <f>SUM(X30:X43)</f>
        <v>1</v>
      </c>
      <c r="T30" s="98">
        <f>MAX(V30:V43)</f>
        <v>1</v>
      </c>
      <c r="U30" s="98">
        <f>RANK(V30,V30:V43)</f>
        <v>2</v>
      </c>
      <c r="V30" s="98">
        <f>IF(W30&gt;0,W30,0)</f>
        <v>0</v>
      </c>
      <c r="W30" s="98">
        <f>X30</f>
        <v>0</v>
      </c>
      <c r="X30" s="98">
        <f t="shared" ref="X30:X40" si="4">IF(AB30=" ",0,1)</f>
        <v>0</v>
      </c>
      <c r="Y30" s="98">
        <v>1</v>
      </c>
      <c r="Z30" s="461">
        <f>'A(1)-Sources Stmt.'!F50</f>
        <v>0</v>
      </c>
      <c r="AA30" s="462">
        <f>'A(2)-Uses Statement'!M81</f>
        <v>0</v>
      </c>
      <c r="AB30" s="463" t="str">
        <f>'A(2)-Uses Statement'!M82</f>
        <v xml:space="preserve"> </v>
      </c>
      <c r="BD30" s="97">
        <f>COUNTIF(B30:B36,"&lt;&gt;"&amp;" ")</f>
        <v>1</v>
      </c>
    </row>
    <row r="31" spans="2:56" ht="12" customHeight="1">
      <c r="B31" s="2405" t="str">
        <f t="shared" ref="B31:B43" si="5">IF($T$30&gt;=Y31,(VLOOKUP(Y31,$V$29:$AB$41,7,FALSE))," ")</f>
        <v xml:space="preserve"> </v>
      </c>
      <c r="C31" s="2406"/>
      <c r="D31" s="2406"/>
      <c r="E31" s="2406"/>
      <c r="F31" s="2406"/>
      <c r="G31" s="2406"/>
      <c r="H31" s="2406"/>
      <c r="I31" s="2406"/>
      <c r="J31" s="2406"/>
      <c r="K31" s="2406"/>
      <c r="L31" s="2406"/>
      <c r="M31" s="2407"/>
      <c r="V31" s="98">
        <f>IF(W31&gt;0,X31+X30,0)</f>
        <v>1</v>
      </c>
      <c r="W31" s="98">
        <f t="shared" ref="W31:W41" si="6">IF(X31&gt;0,W30+X31,0)</f>
        <v>1</v>
      </c>
      <c r="X31" s="98">
        <f t="shared" si="4"/>
        <v>1</v>
      </c>
      <c r="Y31" s="98">
        <v>2</v>
      </c>
      <c r="AB31" s="463" t="str">
        <f>IF(OR(AF35="Input Total Housing Square Feet:",AG35="Input Total Commercial Square Feet:"),"Total Housing and/or commercial square feet has not been indicated."," ")</f>
        <v>Total Housing and/or commercial square feet has not been indicated.</v>
      </c>
    </row>
    <row r="32" spans="2:56" ht="12" customHeight="1">
      <c r="B32" s="2405" t="str">
        <f t="shared" si="5"/>
        <v xml:space="preserve"> </v>
      </c>
      <c r="C32" s="2406"/>
      <c r="D32" s="2406"/>
      <c r="E32" s="2406"/>
      <c r="F32" s="2406"/>
      <c r="G32" s="2406"/>
      <c r="H32" s="2406"/>
      <c r="I32" s="2406"/>
      <c r="J32" s="2406"/>
      <c r="K32" s="2406"/>
      <c r="L32" s="2406"/>
      <c r="M32" s="2407"/>
      <c r="V32" s="98">
        <f>IF(W32&gt;0,X32+X31+X30,0)</f>
        <v>0</v>
      </c>
      <c r="W32" s="98">
        <f t="shared" si="6"/>
        <v>0</v>
      </c>
      <c r="X32" s="98">
        <f t="shared" si="4"/>
        <v>0</v>
      </c>
      <c r="Y32" s="98">
        <v>3</v>
      </c>
      <c r="AB32" s="463" t="str">
        <f>IF('A(2)-Uses Statement'!Z21&gt;0,"An amount has not been indicated for all listed 'other' uses under acquisition."," ")</f>
        <v xml:space="preserve"> </v>
      </c>
    </row>
    <row r="33" spans="2:56" ht="12" customHeight="1">
      <c r="B33" s="2405" t="str">
        <f t="shared" si="5"/>
        <v xml:space="preserve"> </v>
      </c>
      <c r="C33" s="2406"/>
      <c r="D33" s="2406"/>
      <c r="E33" s="2406"/>
      <c r="F33" s="2406"/>
      <c r="G33" s="2406"/>
      <c r="H33" s="2406"/>
      <c r="I33" s="2406"/>
      <c r="J33" s="2406"/>
      <c r="K33" s="2406"/>
      <c r="L33" s="2406"/>
      <c r="M33" s="2407"/>
      <c r="V33" s="98">
        <f>IF(W33&gt;0,X33+X32+X31+X30,0)</f>
        <v>0</v>
      </c>
      <c r="W33" s="98">
        <f t="shared" si="6"/>
        <v>0</v>
      </c>
      <c r="X33" s="98">
        <f t="shared" si="4"/>
        <v>0</v>
      </c>
      <c r="Y33" s="98">
        <v>4</v>
      </c>
      <c r="AB33" s="463" t="str">
        <f>IF('A(2)-Uses Statement'!AA21&gt;0,"A description was not provided for all indicated 'other' uses under acquisition."," ")</f>
        <v xml:space="preserve"> </v>
      </c>
    </row>
    <row r="34" spans="2:56" ht="12" customHeight="1">
      <c r="B34" s="2405" t="str">
        <f t="shared" si="5"/>
        <v xml:space="preserve"> </v>
      </c>
      <c r="C34" s="2406"/>
      <c r="D34" s="2406"/>
      <c r="E34" s="2406"/>
      <c r="F34" s="2406"/>
      <c r="G34" s="2406"/>
      <c r="H34" s="2406"/>
      <c r="I34" s="2406"/>
      <c r="J34" s="2406"/>
      <c r="K34" s="2406"/>
      <c r="L34" s="2406"/>
      <c r="M34" s="2407"/>
      <c r="V34" s="98">
        <f>IF(W34&gt;0,X34+X33+X32+X31+X30,0)</f>
        <v>0</v>
      </c>
      <c r="W34" s="98">
        <f t="shared" si="6"/>
        <v>0</v>
      </c>
      <c r="X34" s="98">
        <f t="shared" si="4"/>
        <v>0</v>
      </c>
      <c r="Y34" s="98">
        <v>5</v>
      </c>
      <c r="AB34" s="463" t="str">
        <f>IF('A(2)-Uses Statement'!Z22&gt;0,"An amount has not been indicated for all listed 'other' uses under predevelopment."," ")</f>
        <v xml:space="preserve"> </v>
      </c>
    </row>
    <row r="35" spans="2:56" ht="12" customHeight="1">
      <c r="B35" s="2405" t="str">
        <f t="shared" si="5"/>
        <v xml:space="preserve"> </v>
      </c>
      <c r="C35" s="2406"/>
      <c r="D35" s="2406"/>
      <c r="E35" s="2406"/>
      <c r="F35" s="2406"/>
      <c r="G35" s="2406"/>
      <c r="H35" s="2406"/>
      <c r="I35" s="2406"/>
      <c r="J35" s="2406"/>
      <c r="K35" s="2406"/>
      <c r="L35" s="2406"/>
      <c r="M35" s="2407"/>
      <c r="V35" s="98">
        <f>IF(W35&gt;0,X35+X34+X33+X32+X31+X30,0)</f>
        <v>0</v>
      </c>
      <c r="W35" s="98">
        <f t="shared" si="6"/>
        <v>0</v>
      </c>
      <c r="X35" s="98">
        <f t="shared" si="4"/>
        <v>0</v>
      </c>
      <c r="Y35" s="98">
        <v>6</v>
      </c>
      <c r="AB35" s="463" t="str">
        <f>IF('A(2)-Uses Statement'!AA22&gt;0,"A description was not provided for all indicated 'other' uses under predevelopment."," ")</f>
        <v xml:space="preserve"> </v>
      </c>
      <c r="AF35" s="97" t="str">
        <f>'A(2)-Uses Statement'!$E$12</f>
        <v>Input Total Housing Square Feet:</v>
      </c>
      <c r="AG35" s="97" t="str">
        <f>'A(2)-Uses Statement'!$C$13</f>
        <v>Commercial Space Not Indicated on Project Information Tab</v>
      </c>
    </row>
    <row r="36" spans="2:56" ht="12" customHeight="1">
      <c r="B36" s="2405" t="str">
        <f t="shared" si="5"/>
        <v xml:space="preserve"> </v>
      </c>
      <c r="C36" s="2406"/>
      <c r="D36" s="2406"/>
      <c r="E36" s="2406"/>
      <c r="F36" s="2406"/>
      <c r="G36" s="2406"/>
      <c r="H36" s="2406"/>
      <c r="I36" s="2406"/>
      <c r="J36" s="2406"/>
      <c r="K36" s="2406"/>
      <c r="L36" s="2406"/>
      <c r="M36" s="2407"/>
      <c r="V36" s="98">
        <f>IF(W36&gt;0,X36+X35+X34+X33+X32+X31+X30,0)</f>
        <v>0</v>
      </c>
      <c r="W36" s="98">
        <f t="shared" si="6"/>
        <v>0</v>
      </c>
      <c r="X36" s="98">
        <f t="shared" si="4"/>
        <v>0</v>
      </c>
      <c r="Y36" s="98">
        <v>7</v>
      </c>
      <c r="AB36" s="463" t="str">
        <f>IF('A(2)-Uses Statement'!Z23&gt;0,"An amount has not been indicated for all listed 'other' uses under development."," ")</f>
        <v xml:space="preserve"> </v>
      </c>
    </row>
    <row r="37" spans="2:56" ht="12" customHeight="1">
      <c r="B37" s="2405" t="str">
        <f t="shared" si="5"/>
        <v xml:space="preserve"> </v>
      </c>
      <c r="C37" s="2406"/>
      <c r="D37" s="2406"/>
      <c r="E37" s="2406"/>
      <c r="F37" s="2406"/>
      <c r="G37" s="2406"/>
      <c r="H37" s="2406"/>
      <c r="I37" s="2406"/>
      <c r="J37" s="2406"/>
      <c r="K37" s="2406"/>
      <c r="L37" s="2406"/>
      <c r="M37" s="2407"/>
      <c r="V37" s="98">
        <f>IF(W37&gt;0,X37+X36+X35+X34+X33+X32+X31+X30,0)</f>
        <v>0</v>
      </c>
      <c r="W37" s="98">
        <f t="shared" si="6"/>
        <v>0</v>
      </c>
      <c r="X37" s="98">
        <f t="shared" si="4"/>
        <v>0</v>
      </c>
      <c r="Y37" s="98">
        <v>8</v>
      </c>
      <c r="AB37" s="463" t="str">
        <f>IF('A(2)-Uses Statement'!AA23&gt;0,"A description was not provided for all indicated 'other' uses under development."," ")</f>
        <v xml:space="preserve"> </v>
      </c>
    </row>
    <row r="38" spans="2:56" ht="12" customHeight="1">
      <c r="B38" s="2405" t="str">
        <f t="shared" si="5"/>
        <v xml:space="preserve"> </v>
      </c>
      <c r="C38" s="2406"/>
      <c r="D38" s="2406"/>
      <c r="E38" s="2406"/>
      <c r="F38" s="2406"/>
      <c r="G38" s="2406"/>
      <c r="H38" s="2406"/>
      <c r="I38" s="2406"/>
      <c r="J38" s="2406"/>
      <c r="K38" s="2406"/>
      <c r="L38" s="2406"/>
      <c r="M38" s="2407"/>
      <c r="V38" s="98">
        <f>IF(W38&gt;0,X38+X37+X36+X35+X34+X33+X32+X31+X30,0)</f>
        <v>0</v>
      </c>
      <c r="W38" s="98">
        <f t="shared" si="6"/>
        <v>0</v>
      </c>
      <c r="X38" s="98">
        <f t="shared" si="4"/>
        <v>0</v>
      </c>
      <c r="Y38" s="98">
        <v>9</v>
      </c>
      <c r="AB38" s="463" t="str">
        <f>'A(2)-Uses Statement'!T36</f>
        <v xml:space="preserve"> </v>
      </c>
      <c r="AH38" s="97" t="s">
        <v>946</v>
      </c>
      <c r="AI38" s="97" t="s">
        <v>841</v>
      </c>
    </row>
    <row r="39" spans="2:56" ht="12" customHeight="1">
      <c r="B39" s="2405" t="str">
        <f t="shared" si="5"/>
        <v xml:space="preserve"> </v>
      </c>
      <c r="C39" s="2406"/>
      <c r="D39" s="2406"/>
      <c r="E39" s="2406"/>
      <c r="F39" s="2406"/>
      <c r="G39" s="2406"/>
      <c r="H39" s="2406"/>
      <c r="I39" s="2406"/>
      <c r="J39" s="2406"/>
      <c r="K39" s="2406"/>
      <c r="L39" s="2406"/>
      <c r="M39" s="2407"/>
      <c r="V39" s="98">
        <f>IF(W39&gt;0,X39+X38+X37+X36+X35+X34+X33+X32+X31+X30,0)</f>
        <v>0</v>
      </c>
      <c r="W39" s="98">
        <f t="shared" si="6"/>
        <v>0</v>
      </c>
      <c r="X39" s="98">
        <f t="shared" si="4"/>
        <v>0</v>
      </c>
      <c r="Y39" s="98">
        <v>10</v>
      </c>
      <c r="AB39" s="463" t="str">
        <f>'A(2)-Uses Statement'!T37</f>
        <v xml:space="preserve"> </v>
      </c>
      <c r="AH39" s="97" t="str">
        <f>'Project Info and Instructions'!$F$22</f>
        <v>Select 'Yes' or 'No'</v>
      </c>
      <c r="AI39" s="97">
        <f>'A(2)-Uses Statement'!$I$81</f>
        <v>0</v>
      </c>
    </row>
    <row r="40" spans="2:56" ht="12" customHeight="1">
      <c r="B40" s="2405" t="str">
        <f t="shared" si="5"/>
        <v xml:space="preserve"> </v>
      </c>
      <c r="C40" s="2406"/>
      <c r="D40" s="2406"/>
      <c r="E40" s="2406"/>
      <c r="F40" s="2406"/>
      <c r="G40" s="2406"/>
      <c r="H40" s="2406"/>
      <c r="I40" s="2406"/>
      <c r="J40" s="2406"/>
      <c r="K40" s="2406"/>
      <c r="L40" s="2406"/>
      <c r="M40" s="2407"/>
      <c r="V40" s="98">
        <f>IF(W40&gt;0,X40+X39+X38+X37+X36+X35+X34+X33+X32+X31+X30,0)</f>
        <v>0</v>
      </c>
      <c r="W40" s="98">
        <f t="shared" si="6"/>
        <v>0</v>
      </c>
      <c r="X40" s="98">
        <f t="shared" si="4"/>
        <v>0</v>
      </c>
      <c r="Y40" s="98">
        <v>11</v>
      </c>
      <c r="AB40" s="463" t="str">
        <f>'A(2)-Uses Statement'!T38</f>
        <v xml:space="preserve"> </v>
      </c>
    </row>
    <row r="41" spans="2:56" ht="12" customHeight="1">
      <c r="B41" s="2405" t="str">
        <f t="shared" si="5"/>
        <v xml:space="preserve"> </v>
      </c>
      <c r="C41" s="2406"/>
      <c r="D41" s="2406"/>
      <c r="E41" s="2406"/>
      <c r="F41" s="2406"/>
      <c r="G41" s="2406"/>
      <c r="H41" s="2406"/>
      <c r="I41" s="2406"/>
      <c r="J41" s="2406"/>
      <c r="K41" s="2406"/>
      <c r="L41" s="2406"/>
      <c r="M41" s="2407"/>
      <c r="V41" s="98">
        <f>IF(W41&gt;0,X41+X40+X39+X38+X37+X36+X35+X34+X33+X32+X31+X30,0)</f>
        <v>0</v>
      </c>
      <c r="W41" s="98">
        <f t="shared" si="6"/>
        <v>0</v>
      </c>
      <c r="X41" s="98">
        <f>IF(AB41=" ",0,1)</f>
        <v>0</v>
      </c>
      <c r="Y41" s="98">
        <v>12</v>
      </c>
      <c r="AB41" s="465" t="str">
        <f>IF(AND(AH39="Yes",AI39=0),"Project includes commercial space but commercial uses were not indicated"," ")</f>
        <v xml:space="preserve"> </v>
      </c>
    </row>
    <row r="42" spans="2:56" ht="12" customHeight="1">
      <c r="B42" s="2405" t="str">
        <f t="shared" si="5"/>
        <v xml:space="preserve"> </v>
      </c>
      <c r="C42" s="2406"/>
      <c r="D42" s="2406"/>
      <c r="E42" s="2406"/>
      <c r="F42" s="2406"/>
      <c r="G42" s="2406"/>
      <c r="H42" s="2406"/>
      <c r="I42" s="2406"/>
      <c r="J42" s="2406"/>
      <c r="K42" s="2406"/>
      <c r="L42" s="2406"/>
      <c r="M42" s="2407"/>
    </row>
    <row r="43" spans="2:56" ht="12" customHeight="1" thickBot="1">
      <c r="B43" s="2402" t="str">
        <f t="shared" si="5"/>
        <v xml:space="preserve"> </v>
      </c>
      <c r="C43" s="2403"/>
      <c r="D43" s="2403"/>
      <c r="E43" s="2403"/>
      <c r="F43" s="2403"/>
      <c r="G43" s="2403"/>
      <c r="H43" s="2403"/>
      <c r="I43" s="2403"/>
      <c r="J43" s="2403"/>
      <c r="K43" s="2403"/>
      <c r="L43" s="2403"/>
      <c r="M43" s="2404"/>
    </row>
    <row r="44" spans="2:56" ht="12.75" thickTop="1"/>
    <row r="45" spans="2:56" ht="17.25" thickBot="1">
      <c r="B45" s="2421" t="s">
        <v>791</v>
      </c>
      <c r="C45" s="2421"/>
      <c r="D45" s="2421"/>
      <c r="E45" s="2421"/>
      <c r="F45" s="2421"/>
      <c r="G45" s="2421"/>
      <c r="H45" s="2421"/>
      <c r="I45" s="2421"/>
      <c r="J45" s="2421"/>
      <c r="K45" s="2421"/>
      <c r="L45" s="2421"/>
      <c r="M45" s="456"/>
      <c r="N45" s="457"/>
      <c r="O45" s="457"/>
      <c r="P45" s="457"/>
    </row>
    <row r="46" spans="2:56" ht="12" customHeight="1" thickTop="1" thickBot="1">
      <c r="B46" s="2422" t="str">
        <f>IF(AB46&gt;0,"One or more of the questions have not been answered.","")</f>
        <v/>
      </c>
      <c r="C46" s="2423"/>
      <c r="D46" s="2423"/>
      <c r="E46" s="2423"/>
      <c r="F46" s="2423"/>
      <c r="G46" s="2423"/>
      <c r="H46" s="2423"/>
      <c r="I46" s="2423"/>
      <c r="J46" s="2423"/>
      <c r="K46" s="2423"/>
      <c r="L46" s="2423"/>
      <c r="M46" s="2424"/>
      <c r="AB46" s="97">
        <f>'A(3)-Sources and Uses Summary'!T30</f>
        <v>0</v>
      </c>
      <c r="BD46" s="97">
        <f>COUNTIF(B46,"&lt;&gt;"&amp;" ")</f>
        <v>1</v>
      </c>
    </row>
    <row r="47" spans="2:56" ht="12.75" thickTop="1">
      <c r="AJ47" s="61" t="s">
        <v>160</v>
      </c>
      <c r="AK47" s="61" t="s">
        <v>153</v>
      </c>
      <c r="AL47" s="61" t="s">
        <v>120</v>
      </c>
      <c r="AM47" s="61" t="s">
        <v>808</v>
      </c>
      <c r="AN47" s="61" t="s">
        <v>931</v>
      </c>
      <c r="AO47" s="61" t="s">
        <v>711</v>
      </c>
      <c r="AP47" s="61" t="s">
        <v>679</v>
      </c>
      <c r="AQ47" s="61" t="s">
        <v>663</v>
      </c>
      <c r="AR47" s="61"/>
      <c r="AS47" s="464"/>
      <c r="AT47" s="464"/>
    </row>
    <row r="48" spans="2:56" ht="17.25" thickBot="1">
      <c r="B48" s="2421" t="str">
        <f>IF('Project Info and Instructions'!$F$20="Rental","Rent Schedule",IF('Project Info and Instructions'!$F$20="Owner-occupied","Owner-occupied Housing Expense","Select a project type to see validation warnings for Rent Schedule or the Owner-occ. Housing Exp. Worksheet"))</f>
        <v>Rent Schedule</v>
      </c>
      <c r="C48" s="2421"/>
      <c r="D48" s="2421"/>
      <c r="E48" s="2421"/>
      <c r="F48" s="2421"/>
      <c r="G48" s="2421"/>
      <c r="H48" s="2421"/>
      <c r="I48" s="2421"/>
      <c r="J48" s="2421"/>
      <c r="K48" s="2421"/>
      <c r="L48" s="2421"/>
      <c r="M48" s="2421"/>
      <c r="N48" s="457"/>
      <c r="O48" s="457"/>
      <c r="P48" s="457"/>
      <c r="AI48" s="238"/>
      <c r="AJ48" s="98">
        <f>COUNTIF('B-Rent Schedule'!C29:C50,"&lt;&gt;")</f>
        <v>0</v>
      </c>
      <c r="AK48" s="98">
        <f>COUNTIF('B-Rent Schedule'!D29:D50,"&lt;&gt;")</f>
        <v>0</v>
      </c>
      <c r="AL48" s="98">
        <f>COUNTIF('B-Rent Schedule'!E29:E50,"&lt;&gt;")</f>
        <v>0</v>
      </c>
      <c r="AM48" s="98">
        <f>COUNTIF('B-Rent Schedule'!F29:F50,"&lt;&gt;")</f>
        <v>0</v>
      </c>
      <c r="AN48" s="98">
        <f>COUNTIF('B-Rent Schedule'!G29:G50,"&lt;&gt;")</f>
        <v>0</v>
      </c>
      <c r="AO48" s="98">
        <f>COUNTIFS('B-Rent Schedule'!I29:I50,"&lt;&gt;")</f>
        <v>0</v>
      </c>
      <c r="AP48" s="98">
        <f>COUNTIF('B-Rent Schedule'!K29:K50,"&lt;&gt;")</f>
        <v>0</v>
      </c>
      <c r="AQ48" s="98">
        <f>COUNTIF('B-Rent Schedule'!O29:O50,"&lt;&gt;")</f>
        <v>0</v>
      </c>
      <c r="AR48" s="98"/>
      <c r="AS48" s="98"/>
      <c r="AU48" s="98"/>
      <c r="AW48" s="98"/>
      <c r="AX48" s="98"/>
    </row>
    <row r="49" spans="2:56" ht="12" customHeight="1" thickTop="1">
      <c r="B49" s="2408" t="str">
        <f>IF('Project Info and Instructions'!$F$20="Rental",AC49,IF('Project Info and Instructions'!$F$20="Owner-occupied",'Validation Warnings Hidden'!AC112," "))</f>
        <v>A state has not been selected.</v>
      </c>
      <c r="C49" s="2409"/>
      <c r="D49" s="2409"/>
      <c r="E49" s="2409"/>
      <c r="F49" s="2409"/>
      <c r="G49" s="2409"/>
      <c r="H49" s="2409"/>
      <c r="I49" s="2409"/>
      <c r="J49" s="2409"/>
      <c r="K49" s="2409"/>
      <c r="L49" s="2409"/>
      <c r="M49" s="2410"/>
      <c r="S49" s="98">
        <f>SUM(X49:X60)</f>
        <v>2</v>
      </c>
      <c r="T49" s="98">
        <f>MAX(V49:V60)</f>
        <v>2</v>
      </c>
      <c r="U49" s="98">
        <f>RANK(V49,$V$49:$V$60)</f>
        <v>3</v>
      </c>
      <c r="V49" s="98">
        <f>IF(W49&gt;0,W49,0)</f>
        <v>0</v>
      </c>
      <c r="W49" s="98">
        <f>IF(X49&gt;0,X49,0)</f>
        <v>0</v>
      </c>
      <c r="X49" s="98">
        <f t="shared" ref="X49:X60" si="7">IF(AB49=" ",0,1)</f>
        <v>0</v>
      </c>
      <c r="Y49" s="98">
        <v>1</v>
      </c>
      <c r="AB49" s="463" t="str">
        <f>IF(AND('Project Info and Instructions'!F20="Rental",'B-Rent Schedule'!Q62&lt;0.2),"Less than 20% of units indicated are reserved for housesholds at or below 50% A.M.I."," ")</f>
        <v xml:space="preserve"> </v>
      </c>
      <c r="AC49" s="465" t="str">
        <f>IF($T$49&gt;=Y49,(VLOOKUP(Y49,$V$49:$AB$60,7,FALSE))," ")</f>
        <v>A state has not been selected.</v>
      </c>
      <c r="AI49" s="239"/>
      <c r="AJ49" s="98">
        <f>COUNTIF('B-Rent Schedule'!C52,"&lt;&gt;")</f>
        <v>0</v>
      </c>
      <c r="AK49" s="98">
        <f>COUNTIF('B-Rent Schedule'!D52,"&lt;&gt;")</f>
        <v>0</v>
      </c>
      <c r="AL49" s="98">
        <f>COUNTIF('B-Rent Schedule'!E52,"&lt;&gt;")</f>
        <v>0</v>
      </c>
      <c r="AM49" s="98">
        <f>COUNTIF('B-Rent Schedule'!F52,"&lt;&gt;")</f>
        <v>0</v>
      </c>
      <c r="AN49" s="98">
        <f>COUNTIF('B-Rent Schedule'!G52,"&lt;&gt;")</f>
        <v>0</v>
      </c>
      <c r="AO49" s="98">
        <f>COUNTIF('B-Rent Schedule'!I52,"&lt;&gt;")</f>
        <v>0</v>
      </c>
      <c r="AP49" s="98">
        <f>COUNTIF('B-Rent Schedule'!K52,"&lt;&gt;")</f>
        <v>0</v>
      </c>
      <c r="AQ49" s="98">
        <f>COUNTIF('B-Rent Schedule'!O52,"&lt;&gt;")</f>
        <v>0</v>
      </c>
      <c r="BD49" s="97">
        <f>COUNTIF(B49:B55,"&lt;&gt;"&amp;" ")</f>
        <v>2</v>
      </c>
    </row>
    <row r="50" spans="2:56" ht="12" customHeight="1">
      <c r="B50" s="2405" t="str">
        <f>IF('Project Info and Instructions'!$F$20="Rental",AC50,IF('Project Info and Instructions'!$F$20="Owner-occupied",'Validation Warnings Hidden'!AC113," "))</f>
        <v>Number of units reserved for homeless households has not been indicated.</v>
      </c>
      <c r="C50" s="2406"/>
      <c r="D50" s="2406"/>
      <c r="E50" s="2406"/>
      <c r="F50" s="2406"/>
      <c r="G50" s="2406"/>
      <c r="H50" s="2406"/>
      <c r="I50" s="2406"/>
      <c r="J50" s="2406"/>
      <c r="K50" s="2406"/>
      <c r="L50" s="2406"/>
      <c r="M50" s="2407"/>
      <c r="U50" s="98">
        <f t="shared" ref="U50:U60" si="8">RANK(V50,$V$49:$V$60)</f>
        <v>3</v>
      </c>
      <c r="V50" s="98">
        <f>IF(W50&gt;0,X50+X49,0)</f>
        <v>0</v>
      </c>
      <c r="W50" s="98">
        <f t="shared" ref="W50:W60" si="9">IF(X50&gt;0,W49+X50,0)</f>
        <v>0</v>
      </c>
      <c r="X50" s="98">
        <f t="shared" si="7"/>
        <v>0</v>
      </c>
      <c r="Y50" s="98">
        <v>2</v>
      </c>
      <c r="AB50" s="463" t="str">
        <f>IF(AND('Project Info and Instructions'!F20="Rental",AJ51&lt;AT51),"Target area median income has not been indicated for all listed units"," ")</f>
        <v xml:space="preserve"> </v>
      </c>
      <c r="AC50" s="465" t="str">
        <f>IF($T$49&gt;=Y50,(VLOOKUP(Y50,$V$49:$AB$60,7,FALSE))," ")</f>
        <v>Number of units reserved for homeless households has not been indicated.</v>
      </c>
      <c r="AI50" s="239"/>
      <c r="AJ50" s="98">
        <f>IF(AJ55&gt;0,1,0)</f>
        <v>0</v>
      </c>
      <c r="AK50" s="98">
        <f>COUNTIF('B-Rent Schedule'!D54,"&lt;&gt;")</f>
        <v>0</v>
      </c>
      <c r="AL50" s="98">
        <f>COUNTIF('B-Rent Schedule'!E54,"&lt;&gt;")</f>
        <v>0</v>
      </c>
      <c r="AM50" s="98">
        <f>COUNTIF('B-Rent Schedule'!F54,"&lt;&gt;")</f>
        <v>0</v>
      </c>
      <c r="AN50" s="98">
        <f>COUNTIF('B-Rent Schedule'!G54,"&lt;&gt;")</f>
        <v>0</v>
      </c>
      <c r="AO50" s="98">
        <f>COUNTIF('B-Rent Schedule'!I54,"&lt;&gt;")</f>
        <v>0</v>
      </c>
      <c r="AP50" s="98">
        <f>COUNTIF('B-Rent Schedule'!K54,"&lt;&gt;")</f>
        <v>0</v>
      </c>
      <c r="AQ50" s="98">
        <f>COUNTIF('B-Rent Schedule'!O54,"&lt;&gt;")</f>
        <v>0</v>
      </c>
    </row>
    <row r="51" spans="2:56" ht="12" customHeight="1">
      <c r="B51" s="2405" t="str">
        <f>IF('Project Info and Instructions'!$F$20="Rental",AC51,IF('Project Info and Instructions'!$F$20="Owner-occupied",'Validation Warnings Hidden'!AC114," "))</f>
        <v xml:space="preserve"> </v>
      </c>
      <c r="C51" s="2406"/>
      <c r="D51" s="2406"/>
      <c r="E51" s="2406"/>
      <c r="F51" s="2406"/>
      <c r="G51" s="2406"/>
      <c r="H51" s="2406"/>
      <c r="I51" s="2406"/>
      <c r="J51" s="2406"/>
      <c r="K51" s="2406"/>
      <c r="L51" s="2406"/>
      <c r="M51" s="2407"/>
      <c r="U51" s="98">
        <f t="shared" si="8"/>
        <v>3</v>
      </c>
      <c r="V51" s="98">
        <f>IF(W51&gt;0,X51+X50+X49,0)</f>
        <v>0</v>
      </c>
      <c r="W51" s="98">
        <f t="shared" si="9"/>
        <v>0</v>
      </c>
      <c r="X51" s="98">
        <f t="shared" si="7"/>
        <v>0</v>
      </c>
      <c r="Y51" s="98">
        <v>3</v>
      </c>
      <c r="AB51" s="463" t="str">
        <f>IF(AND('Project Info and Instructions'!F20="Rental",AK51&lt;AT51),"The number of bedrooms has not been indicated for all listed units"," ")</f>
        <v xml:space="preserve"> </v>
      </c>
      <c r="AC51" s="465" t="str">
        <f>IF($T$49&gt;=Y51,(VLOOKUP(Y51,$V$49:$AB$60,7,FALSE))," ")</f>
        <v xml:space="preserve"> </v>
      </c>
      <c r="AI51" s="239"/>
      <c r="AJ51" s="98">
        <f t="shared" ref="AJ51:AQ51" si="10">SUM(AJ48:AJ50)</f>
        <v>0</v>
      </c>
      <c r="AK51" s="98">
        <f t="shared" si="10"/>
        <v>0</v>
      </c>
      <c r="AL51" s="98">
        <f t="shared" si="10"/>
        <v>0</v>
      </c>
      <c r="AM51" s="98">
        <f t="shared" si="10"/>
        <v>0</v>
      </c>
      <c r="AN51" s="98">
        <f t="shared" si="10"/>
        <v>0</v>
      </c>
      <c r="AO51" s="759">
        <f t="shared" si="10"/>
        <v>0</v>
      </c>
      <c r="AP51" s="98">
        <f t="shared" si="10"/>
        <v>0</v>
      </c>
      <c r="AQ51" s="98">
        <f t="shared" si="10"/>
        <v>0</v>
      </c>
      <c r="AT51" s="98">
        <f>MAX(AJ51:AR51)</f>
        <v>0</v>
      </c>
    </row>
    <row r="52" spans="2:56" ht="12" customHeight="1">
      <c r="B52" s="2405" t="str">
        <f>IF('Project Info and Instructions'!$F$20="Rental",AC52,IF('Project Info and Instructions'!$F$20="Owner-occupied",'Validation Warnings Hidden'!AC115," "))</f>
        <v xml:space="preserve"> </v>
      </c>
      <c r="C52" s="2406"/>
      <c r="D52" s="2406"/>
      <c r="E52" s="2406"/>
      <c r="F52" s="2406"/>
      <c r="G52" s="2406"/>
      <c r="H52" s="2406"/>
      <c r="I52" s="2406"/>
      <c r="J52" s="2406"/>
      <c r="K52" s="2406"/>
      <c r="L52" s="2406"/>
      <c r="M52" s="2407"/>
      <c r="U52" s="98">
        <f t="shared" si="8"/>
        <v>3</v>
      </c>
      <c r="V52" s="98">
        <f>IF(W52&gt;0,X52+X51+X50+X49,0)</f>
        <v>0</v>
      </c>
      <c r="W52" s="98">
        <f t="shared" si="9"/>
        <v>0</v>
      </c>
      <c r="X52" s="98">
        <f t="shared" si="7"/>
        <v>0</v>
      </c>
      <c r="Y52" s="98">
        <v>4</v>
      </c>
      <c r="AB52" s="463" t="str">
        <f>IF(AND('Project Info and Instructions'!F20="Rental",AL51&lt;AT51),"Number of units has not been indicated for all listed units"," ")</f>
        <v xml:space="preserve"> </v>
      </c>
      <c r="AC52" s="465" t="str">
        <f t="shared" ref="AC52:AC59" si="11">IF($T$49&gt;=Y52,(VLOOKUP(Y52,$V$49:$AB$60,7,FALSE))," ")</f>
        <v xml:space="preserve"> </v>
      </c>
      <c r="AI52" s="241"/>
      <c r="AJ52" s="98"/>
      <c r="AK52" s="98"/>
      <c r="AL52" s="98"/>
      <c r="AM52" s="98"/>
      <c r="AN52" s="98"/>
      <c r="AO52" s="98">
        <f>COUNTIF('B-Rent Schedule'!H29:H50,"&gt;"&amp;0)</f>
        <v>0</v>
      </c>
      <c r="AP52" s="98"/>
    </row>
    <row r="53" spans="2:56" ht="12" customHeight="1">
      <c r="B53" s="2405" t="str">
        <f>IF('Project Info and Instructions'!$F$20="Rental",AC53,IF('Project Info and Instructions'!$F$20="Owner-occupied",'Validation Warnings Hidden'!AC116," "))</f>
        <v xml:space="preserve"> </v>
      </c>
      <c r="C53" s="2406"/>
      <c r="D53" s="2406"/>
      <c r="E53" s="2406"/>
      <c r="F53" s="2406"/>
      <c r="G53" s="2406"/>
      <c r="H53" s="2406"/>
      <c r="I53" s="2406"/>
      <c r="J53" s="2406"/>
      <c r="K53" s="2406"/>
      <c r="L53" s="2406"/>
      <c r="M53" s="2407"/>
      <c r="U53" s="98">
        <f t="shared" si="8"/>
        <v>3</v>
      </c>
      <c r="V53" s="98">
        <f>IF(W53&gt;0,X53+X52+X51+X50+X49,0)</f>
        <v>0</v>
      </c>
      <c r="W53" s="98">
        <f t="shared" si="9"/>
        <v>0</v>
      </c>
      <c r="X53" s="98">
        <f t="shared" si="7"/>
        <v>0</v>
      </c>
      <c r="Y53" s="98">
        <v>5</v>
      </c>
      <c r="AB53" s="463" t="str">
        <f>IF(AND('Project Info and Instructions'!F20="Rental",AM51&lt;AT51),"Total rent received has not been indicated for all listed units"," ")</f>
        <v xml:space="preserve"> </v>
      </c>
      <c r="AC53" s="465" t="str">
        <f t="shared" si="11"/>
        <v xml:space="preserve"> </v>
      </c>
      <c r="AI53" s="238"/>
      <c r="AJ53" s="98"/>
      <c r="AK53" s="98"/>
      <c r="AL53" s="98"/>
      <c r="AM53" s="98"/>
      <c r="AN53" s="98"/>
      <c r="AO53" s="98">
        <f>COUNTIF('B-Rent Schedule'!H52,"&gt;"&amp;0)</f>
        <v>0</v>
      </c>
      <c r="AP53" s="98"/>
    </row>
    <row r="54" spans="2:56" ht="12" customHeight="1">
      <c r="B54" s="2405" t="str">
        <f>IF('Project Info and Instructions'!$F$20="Rental",AC54,IF('Project Info and Instructions'!$F$20="Owner-occupied",'Validation Warnings Hidden'!AC117," "))</f>
        <v xml:space="preserve"> </v>
      </c>
      <c r="C54" s="2406"/>
      <c r="D54" s="2406"/>
      <c r="E54" s="2406"/>
      <c r="F54" s="2406"/>
      <c r="G54" s="2406"/>
      <c r="H54" s="2406"/>
      <c r="I54" s="2406"/>
      <c r="J54" s="2406"/>
      <c r="K54" s="2406"/>
      <c r="L54" s="2406"/>
      <c r="M54" s="2407"/>
      <c r="U54" s="98">
        <f t="shared" si="8"/>
        <v>3</v>
      </c>
      <c r="V54" s="98">
        <f>IF(W54&gt;0,X54+X53+X52+X51+X50+X49,0)</f>
        <v>0</v>
      </c>
      <c r="W54" s="98">
        <f t="shared" si="9"/>
        <v>0</v>
      </c>
      <c r="X54" s="98">
        <f t="shared" si="7"/>
        <v>0</v>
      </c>
      <c r="Y54" s="98">
        <v>6</v>
      </c>
      <c r="AB54" s="463" t="str">
        <f>IF(AND('Project Info and Instructions'!F20="Rental",AN51&lt;AT51),"Tenant paid rent has not been indicated for all listed units."," ")</f>
        <v xml:space="preserve"> </v>
      </c>
      <c r="AC54" s="465" t="str">
        <f t="shared" si="11"/>
        <v xml:space="preserve"> </v>
      </c>
      <c r="AO54" s="98">
        <f>COUNTIF('B-Rent Schedule'!H54,"&gt;"&amp;0)</f>
        <v>0</v>
      </c>
    </row>
    <row r="55" spans="2:56" ht="12" customHeight="1">
      <c r="B55" s="2405" t="str">
        <f>IF('Project Info and Instructions'!$F$20="Rental",AC55,IF('Project Info and Instructions'!$F$20="Owner-occupied",'Validation Warnings Hidden'!AC118," "))</f>
        <v xml:space="preserve"> </v>
      </c>
      <c r="C55" s="2406"/>
      <c r="D55" s="2406"/>
      <c r="E55" s="2406"/>
      <c r="F55" s="2406"/>
      <c r="G55" s="2406"/>
      <c r="H55" s="2406"/>
      <c r="I55" s="2406"/>
      <c r="J55" s="2406"/>
      <c r="K55" s="2406"/>
      <c r="L55" s="2406"/>
      <c r="M55" s="2407"/>
      <c r="U55" s="98">
        <f t="shared" si="8"/>
        <v>3</v>
      </c>
      <c r="V55" s="98">
        <f>IF(W55&gt;0,X49+X55+X54+X53+X52+X51+X50,0)</f>
        <v>0</v>
      </c>
      <c r="W55" s="98">
        <f t="shared" si="9"/>
        <v>0</v>
      </c>
      <c r="X55" s="98">
        <f t="shared" si="7"/>
        <v>0</v>
      </c>
      <c r="Y55" s="98">
        <v>7</v>
      </c>
      <c r="AB55" s="463" t="str">
        <f>IF(AND('Project Info and Instructions'!F20="Rental",AO51&lt;AO55),"Type of subsidy has not been indicated for all listed units where subsidy amount is &gt;$0."," ")</f>
        <v xml:space="preserve"> </v>
      </c>
      <c r="AC55" s="465" t="str">
        <f t="shared" si="11"/>
        <v xml:space="preserve"> </v>
      </c>
      <c r="AJ55" s="97">
        <f>SUM(AK50:AN50,AP50:AQ50)</f>
        <v>0</v>
      </c>
      <c r="AO55" s="759">
        <f>SUM(AO52:AO54)</f>
        <v>0</v>
      </c>
    </row>
    <row r="56" spans="2:56" ht="12" customHeight="1">
      <c r="B56" s="2405" t="str">
        <f>IF('Project Info and Instructions'!$F$20="Rental",AC56,IF('Project Info and Instructions'!$F$20="Owner-occupied",'Validation Warnings Hidden'!AC119," "))</f>
        <v xml:space="preserve"> </v>
      </c>
      <c r="C56" s="2406"/>
      <c r="D56" s="2406"/>
      <c r="E56" s="2406"/>
      <c r="F56" s="2406"/>
      <c r="G56" s="2406"/>
      <c r="H56" s="2406"/>
      <c r="I56" s="2406"/>
      <c r="J56" s="2406"/>
      <c r="K56" s="2406"/>
      <c r="L56" s="2406"/>
      <c r="M56" s="2407"/>
      <c r="U56" s="98">
        <f t="shared" si="8"/>
        <v>3</v>
      </c>
      <c r="V56" s="98">
        <f>IF(W56&gt;0,X50+X49+X56+X55+X54+X53+X52+X51,0)</f>
        <v>0</v>
      </c>
      <c r="W56" s="98">
        <f t="shared" si="9"/>
        <v>0</v>
      </c>
      <c r="X56" s="98">
        <f t="shared" si="7"/>
        <v>0</v>
      </c>
      <c r="Y56" s="98">
        <v>8</v>
      </c>
      <c r="AB56" s="463" t="str">
        <f>IF(AND('Project Info and Instructions'!F20="Rental",AP51&lt;AT51),"Assumed household sized has not been indicated for all listed units."," ")</f>
        <v xml:space="preserve"> </v>
      </c>
      <c r="AC56" s="465" t="str">
        <f t="shared" si="11"/>
        <v xml:space="preserve"> </v>
      </c>
    </row>
    <row r="57" spans="2:56" ht="12" customHeight="1">
      <c r="B57" s="2405" t="str">
        <f>IF('Project Info and Instructions'!$F$20="Rental",AC57,IF('Project Info and Instructions'!$F$20="Owner-occupied",'Validation Warnings Hidden'!AC120," "))</f>
        <v xml:space="preserve"> </v>
      </c>
      <c r="C57" s="2406"/>
      <c r="D57" s="2406"/>
      <c r="E57" s="2406"/>
      <c r="F57" s="2406"/>
      <c r="G57" s="2406"/>
      <c r="H57" s="2406"/>
      <c r="I57" s="2406"/>
      <c r="J57" s="2406"/>
      <c r="K57" s="2406"/>
      <c r="L57" s="2406"/>
      <c r="M57" s="2407"/>
      <c r="U57" s="98">
        <f t="shared" si="8"/>
        <v>3</v>
      </c>
      <c r="V57" s="98">
        <f>IF(W57&gt;0,X51+X50+X57+X56+X55+X54+X53+X52+X49,0)</f>
        <v>0</v>
      </c>
      <c r="W57" s="98">
        <f t="shared" si="9"/>
        <v>0</v>
      </c>
      <c r="X57" s="98">
        <f t="shared" si="7"/>
        <v>0</v>
      </c>
      <c r="Y57" s="98">
        <v>9</v>
      </c>
      <c r="AB57" s="463" t="str">
        <f>IF(AND('Project Info and Instructions'!F20="Rental",AQ51&lt;AT51),"Monthly utility amount has not been indicated for all listed units."," ")</f>
        <v xml:space="preserve"> </v>
      </c>
      <c r="AC57" s="465" t="str">
        <f t="shared" si="11"/>
        <v xml:space="preserve"> </v>
      </c>
    </row>
    <row r="58" spans="2:56" ht="12" customHeight="1">
      <c r="B58" s="2405" t="str">
        <f>IF('Project Info and Instructions'!$F$20="Rental",AC58,IF('Project Info and Instructions'!$F$20="Owner-occupied",'Validation Warnings Hidden'!AC121," "))</f>
        <v xml:space="preserve"> </v>
      </c>
      <c r="C58" s="2406"/>
      <c r="D58" s="2406"/>
      <c r="E58" s="2406"/>
      <c r="F58" s="2406"/>
      <c r="G58" s="2406"/>
      <c r="H58" s="2406"/>
      <c r="I58" s="2406"/>
      <c r="J58" s="2406"/>
      <c r="K58" s="2406"/>
      <c r="L58" s="2406"/>
      <c r="M58" s="2407"/>
      <c r="U58" s="98">
        <f t="shared" si="8"/>
        <v>2</v>
      </c>
      <c r="V58" s="98">
        <f>IF(W58&gt;0,X53+X52+X58+X57+X56+X55+X54+X51+X50+X49,0)</f>
        <v>1</v>
      </c>
      <c r="W58" s="98">
        <f t="shared" si="9"/>
        <v>1</v>
      </c>
      <c r="X58" s="98">
        <f t="shared" si="7"/>
        <v>1</v>
      </c>
      <c r="Y58" s="98">
        <v>10</v>
      </c>
      <c r="AB58" s="463" t="str">
        <f>IF(AND('Project Info and Instructions'!F20="Rental",'B-Rent Schedule'!X10=1),"A state has not been selected."," ")</f>
        <v>A state has not been selected.</v>
      </c>
      <c r="AC58" s="465" t="str">
        <f t="shared" si="11"/>
        <v xml:space="preserve"> </v>
      </c>
    </row>
    <row r="59" spans="2:56" ht="12" customHeight="1">
      <c r="B59" s="2405" t="str">
        <f>IF('Project Info and Instructions'!$F$20="Rental",AC59,IF('Project Info and Instructions'!$F$20="Owner-occupied",'Validation Warnings Hidden'!AC122," "))</f>
        <v xml:space="preserve"> </v>
      </c>
      <c r="C59" s="2406"/>
      <c r="D59" s="2406"/>
      <c r="E59" s="2406"/>
      <c r="F59" s="2406"/>
      <c r="G59" s="2406"/>
      <c r="H59" s="2406"/>
      <c r="I59" s="2406"/>
      <c r="J59" s="2406"/>
      <c r="K59" s="2406"/>
      <c r="L59" s="2406"/>
      <c r="M59" s="2407"/>
      <c r="U59" s="98">
        <f t="shared" si="8"/>
        <v>3</v>
      </c>
      <c r="V59" s="98">
        <f>IF(W59&gt;0,X54+X53+X59+X58+X57+X56+X55+X52+X51+X50+X49,0)</f>
        <v>0</v>
      </c>
      <c r="W59" s="98">
        <f t="shared" si="9"/>
        <v>0</v>
      </c>
      <c r="X59" s="98">
        <f t="shared" si="7"/>
        <v>0</v>
      </c>
      <c r="Y59" s="98">
        <v>11</v>
      </c>
      <c r="AB59" s="463" t="str">
        <f>IF(AND('Project Info and Instructions'!F20="Rental",'B-Rent Schedule'!X14=0),"A county has not been selected."," ")</f>
        <v xml:space="preserve"> </v>
      </c>
      <c r="AC59" s="465" t="str">
        <f t="shared" si="11"/>
        <v xml:space="preserve"> </v>
      </c>
    </row>
    <row r="60" spans="2:56" ht="12.75" thickBot="1">
      <c r="B60" s="2402" t="str">
        <f>IF('Project Info and Instructions'!$F$20="Rental",AC60,IF('Project Info and Instructions'!$F$20="Owner-occupied",'Validation Warnings Hidden'!AC123," "))</f>
        <v xml:space="preserve"> </v>
      </c>
      <c r="C60" s="2403"/>
      <c r="D60" s="2403"/>
      <c r="E60" s="2403"/>
      <c r="F60" s="2403"/>
      <c r="G60" s="2403"/>
      <c r="H60" s="2403"/>
      <c r="I60" s="2403"/>
      <c r="J60" s="2403"/>
      <c r="K60" s="2403"/>
      <c r="L60" s="2403"/>
      <c r="M60" s="2404"/>
      <c r="U60" s="98">
        <f t="shared" si="8"/>
        <v>1</v>
      </c>
      <c r="V60" s="98">
        <f>IF(W60&gt;0,X55+X54+X60+X59+X58+X57+X56+X53+X52+X51+X50+X49,0)</f>
        <v>2</v>
      </c>
      <c r="W60" s="98">
        <f t="shared" si="9"/>
        <v>1</v>
      </c>
      <c r="X60" s="98">
        <f t="shared" si="7"/>
        <v>1</v>
      </c>
      <c r="Y60" s="98">
        <v>12</v>
      </c>
      <c r="AB60" s="465" t="str">
        <f>IF(AND('Project Info and Instructions'!F20="Rental",'B-Rent Schedule'!P60=""),"Number of units reserved for homeless households has not been indicated."," ")</f>
        <v>Number of units reserved for homeless households has not been indicated.</v>
      </c>
      <c r="AC60" s="465" t="str">
        <f>IF($T$49&gt;=Y60,(VLOOKUP(Y60,$V$49:$AB$60,7,FALSE))," ")</f>
        <v xml:space="preserve"> </v>
      </c>
    </row>
    <row r="61" spans="2:56" ht="12.75" thickTop="1">
      <c r="B61" s="466"/>
      <c r="C61" s="623"/>
      <c r="D61" s="466"/>
      <c r="E61" s="466"/>
      <c r="F61" s="466"/>
      <c r="G61" s="466"/>
      <c r="H61" s="466"/>
      <c r="I61" s="466"/>
      <c r="J61" s="466"/>
      <c r="K61" s="466"/>
      <c r="L61" s="466"/>
      <c r="M61" s="466"/>
      <c r="U61" s="97"/>
      <c r="V61" s="97"/>
      <c r="W61" s="97"/>
      <c r="X61" s="97"/>
      <c r="Y61" s="97"/>
    </row>
    <row r="62" spans="2:56">
      <c r="U62" s="97"/>
      <c r="V62" s="97"/>
      <c r="W62" s="97"/>
      <c r="X62" s="97"/>
      <c r="Y62" s="97"/>
    </row>
    <row r="63" spans="2:56" ht="17.25" thickBot="1">
      <c r="B63" s="2421" t="str">
        <f>IF('Project Info and Instructions'!F20="Owner-occupied","Rental Operating ProForma - N/A, Required for Rental Projects","Rental Operating ProForma")</f>
        <v>Rental Operating ProForma</v>
      </c>
      <c r="C63" s="2421"/>
      <c r="D63" s="2421"/>
      <c r="E63" s="2421"/>
      <c r="F63" s="2421"/>
      <c r="G63" s="2421"/>
      <c r="H63" s="2421"/>
      <c r="I63" s="2421"/>
      <c r="J63" s="2421"/>
      <c r="K63" s="2421"/>
      <c r="L63" s="2421"/>
      <c r="M63" s="2421"/>
      <c r="U63" s="97"/>
      <c r="V63" s="97"/>
      <c r="W63" s="97"/>
      <c r="X63" s="97"/>
      <c r="Y63" s="97"/>
    </row>
    <row r="64" spans="2:56" ht="12" customHeight="1" thickTop="1">
      <c r="B64" s="2408" t="str">
        <f>IF('Project Info and Instructions'!$F$20="Rental",IF($T$68&gt;=Y68,(VLOOKUP(Y68,$V$68:$AB$84,7,FALSE))," ")," ")</f>
        <v>A vacancy rate has not been indicated.</v>
      </c>
      <c r="C64" s="2409"/>
      <c r="D64" s="2409"/>
      <c r="E64" s="2409"/>
      <c r="F64" s="2409"/>
      <c r="G64" s="2409"/>
      <c r="H64" s="2409"/>
      <c r="I64" s="2409"/>
      <c r="J64" s="2409"/>
      <c r="K64" s="2409"/>
      <c r="L64" s="2409"/>
      <c r="M64" s="2410"/>
      <c r="U64" s="97"/>
      <c r="V64" s="97"/>
      <c r="W64" s="97"/>
      <c r="X64" s="97"/>
      <c r="Y64" s="97"/>
    </row>
    <row r="65" spans="2:56" ht="12" customHeight="1">
      <c r="B65" s="2405" t="str">
        <f>IF('Project Info and Instructions'!$F$20="Rental",IF($T$68&gt;=Y69,(VLOOKUP(Y69,$V$68:$AB$84,7,FALSE))," ")," ")</f>
        <v xml:space="preserve"> </v>
      </c>
      <c r="C65" s="2406"/>
      <c r="D65" s="2406"/>
      <c r="E65" s="2406"/>
      <c r="F65" s="2406"/>
      <c r="G65" s="2406"/>
      <c r="H65" s="2406"/>
      <c r="I65" s="2406"/>
      <c r="J65" s="2406"/>
      <c r="K65" s="2406"/>
      <c r="L65" s="2406"/>
      <c r="M65" s="2407"/>
      <c r="AB65" s="467"/>
    </row>
    <row r="66" spans="2:56" ht="12" customHeight="1">
      <c r="B66" s="2405" t="str">
        <f>IF('Project Info and Instructions'!$F$20="Rental",IF($T$68&gt;=Y70,(VLOOKUP(Y70,$V$68:$AB$84,7,FALSE))," ")," ")</f>
        <v xml:space="preserve"> </v>
      </c>
      <c r="C66" s="2406"/>
      <c r="D66" s="2406"/>
      <c r="E66" s="2406"/>
      <c r="F66" s="2406"/>
      <c r="G66" s="2406"/>
      <c r="H66" s="2406"/>
      <c r="I66" s="2406"/>
      <c r="J66" s="2406"/>
      <c r="K66" s="2406"/>
      <c r="L66" s="2406"/>
      <c r="M66" s="2407"/>
      <c r="N66" s="457"/>
      <c r="O66" s="457"/>
      <c r="P66" s="457"/>
      <c r="AJ66" s="98" t="s">
        <v>842</v>
      </c>
      <c r="AK66" s="98" t="s">
        <v>8</v>
      </c>
      <c r="AL66" s="98" t="s">
        <v>9</v>
      </c>
      <c r="AM66" s="98" t="s">
        <v>10</v>
      </c>
      <c r="AN66" s="98" t="s">
        <v>11</v>
      </c>
      <c r="AO66" s="98" t="s">
        <v>12</v>
      </c>
      <c r="AP66" s="98" t="s">
        <v>13</v>
      </c>
      <c r="AQ66" s="97" t="s">
        <v>14</v>
      </c>
    </row>
    <row r="67" spans="2:56" ht="12" customHeight="1">
      <c r="B67" s="2405" t="str">
        <f>IF('Project Info and Instructions'!$F$20="Rental",IF($T$68&gt;=Y71,(VLOOKUP(Y71,$V$68:$AB$84,7,FALSE))," ")," ")</f>
        <v xml:space="preserve"> </v>
      </c>
      <c r="C67" s="2406"/>
      <c r="D67" s="2406"/>
      <c r="E67" s="2406"/>
      <c r="F67" s="2406"/>
      <c r="G67" s="2406"/>
      <c r="H67" s="2406"/>
      <c r="I67" s="2406"/>
      <c r="J67" s="2406"/>
      <c r="K67" s="2406"/>
      <c r="L67" s="2406"/>
      <c r="M67" s="2407"/>
      <c r="AJ67" s="98">
        <f>COUNTIF('C(1)-Rental Operating ProForma'!D17:H19,"&lt;&gt;")</f>
        <v>0</v>
      </c>
      <c r="AK67" s="98">
        <f>COUNTIF('C(1)-Rental Operating ProForma'!K17:K19,"&lt;&gt;")</f>
        <v>0</v>
      </c>
      <c r="AL67" s="98">
        <f>COUNTIF('C(1)-Rental Operating ProForma'!L17:L19,"&lt;&gt;")</f>
        <v>0</v>
      </c>
      <c r="AM67" s="98">
        <f>COUNTIF('C(1)-Rental Operating ProForma'!M17:M19,"&lt;&gt;")</f>
        <v>0</v>
      </c>
      <c r="AN67" s="98">
        <f>COUNTIF('C(1)-Rental Operating ProForma'!N17:N19,"&lt;&gt;")</f>
        <v>0</v>
      </c>
      <c r="AO67" s="98">
        <f>COUNTIF('C(1)-Rental Operating ProForma'!O17:O19,"&lt;&gt;")</f>
        <v>0</v>
      </c>
      <c r="AP67" s="98">
        <f>COUNTIF('C(1)-Rental Operating ProForma'!P17:P19,"&lt;&gt;")</f>
        <v>0</v>
      </c>
      <c r="AQ67" s="98">
        <f>COUNTIF('C(1)-Rental Operating ProForma'!Q17:Q19,"&lt;&gt;")</f>
        <v>0</v>
      </c>
      <c r="BD67" s="97">
        <f>COUNTIF(B64:B80,"&lt;&gt;"&amp;" ")</f>
        <v>1</v>
      </c>
    </row>
    <row r="68" spans="2:56" ht="12" customHeight="1">
      <c r="B68" s="2405" t="str">
        <f>IF('Project Info and Instructions'!$F$20="Rental",IF($T$68&gt;=Y72,(VLOOKUP(Y72,$V$68:$AB$84,7,FALSE))," ")," ")</f>
        <v xml:space="preserve"> </v>
      </c>
      <c r="C68" s="2406"/>
      <c r="D68" s="2406"/>
      <c r="E68" s="2406"/>
      <c r="F68" s="2406"/>
      <c r="G68" s="2406"/>
      <c r="H68" s="2406"/>
      <c r="I68" s="2406"/>
      <c r="J68" s="2406"/>
      <c r="K68" s="2406"/>
      <c r="L68" s="2406"/>
      <c r="M68" s="2407"/>
      <c r="S68" s="98">
        <f>SUM(X68:X84)</f>
        <v>1</v>
      </c>
      <c r="T68" s="98">
        <f>MAX(V68:V84)</f>
        <v>1</v>
      </c>
      <c r="U68" s="98">
        <f>RANK(V68,$V$68:$V$84)</f>
        <v>2</v>
      </c>
      <c r="V68" s="98">
        <f>IF(W68&gt;0,W68,0)</f>
        <v>0</v>
      </c>
      <c r="W68" s="98">
        <f>X68</f>
        <v>0</v>
      </c>
      <c r="X68" s="98">
        <f>IF(AB68=" ",0,1)</f>
        <v>0</v>
      </c>
      <c r="Y68" s="98">
        <v>1</v>
      </c>
      <c r="AB68" s="463" t="str">
        <f>IF(AK67&lt;$AJ$67,"An amount has not been provided in year 1 for all 'Other Income' listed."," ")</f>
        <v xml:space="preserve"> </v>
      </c>
    </row>
    <row r="69" spans="2:56" ht="12" customHeight="1">
      <c r="B69" s="2405" t="str">
        <f>IF('Project Info and Instructions'!$F$20="Rental",IF($T$68&gt;=Y73,(VLOOKUP(Y73,$V$68:$AB$84,7,FALSE))," ")," ")</f>
        <v xml:space="preserve"> </v>
      </c>
      <c r="C69" s="2406"/>
      <c r="D69" s="2406"/>
      <c r="E69" s="2406"/>
      <c r="F69" s="2406"/>
      <c r="G69" s="2406"/>
      <c r="H69" s="2406"/>
      <c r="I69" s="2406"/>
      <c r="J69" s="2406"/>
      <c r="K69" s="2406"/>
      <c r="L69" s="2406"/>
      <c r="M69" s="2407"/>
      <c r="U69" s="98">
        <f t="shared" ref="U69:U84" si="12">RANK(V69,$V$68:$V$84)</f>
        <v>2</v>
      </c>
      <c r="V69" s="98">
        <f>IF(W69&gt;0,X69+X68,0)</f>
        <v>0</v>
      </c>
      <c r="W69" s="98">
        <f>IF(X69&gt;0,W68+X69,0)</f>
        <v>0</v>
      </c>
      <c r="X69" s="98">
        <f t="shared" ref="X69:X80" si="13">IF(AB69=" ",0,1)</f>
        <v>0</v>
      </c>
      <c r="Y69" s="98">
        <v>2</v>
      </c>
      <c r="AB69" s="463" t="str">
        <f>IF(AL67&lt;$AJ$67,"An amount has not been provided in year 2 for all 'Other Income' listed."," ")</f>
        <v xml:space="preserve"> </v>
      </c>
      <c r="AJ69" s="98" t="s">
        <v>843</v>
      </c>
    </row>
    <row r="70" spans="2:56" ht="12" customHeight="1">
      <c r="B70" s="2405" t="str">
        <f>IF('Project Info and Instructions'!$F$20="Rental",IF($T$68&gt;=Y74,(VLOOKUP(Y74,$V$68:$AB$84,7,FALSE))," ")," ")</f>
        <v xml:space="preserve"> </v>
      </c>
      <c r="C70" s="2406"/>
      <c r="D70" s="2406"/>
      <c r="E70" s="2406"/>
      <c r="F70" s="2406"/>
      <c r="G70" s="2406"/>
      <c r="H70" s="2406"/>
      <c r="I70" s="2406"/>
      <c r="J70" s="2406"/>
      <c r="K70" s="2406"/>
      <c r="L70" s="2406"/>
      <c r="M70" s="2407"/>
      <c r="U70" s="98">
        <f t="shared" si="12"/>
        <v>2</v>
      </c>
      <c r="V70" s="98">
        <f>IF(W70&gt;0,X70+X69+X68,0)</f>
        <v>0</v>
      </c>
      <c r="W70" s="98">
        <f>IF(X70&gt;0,W69+X70,0)</f>
        <v>0</v>
      </c>
      <c r="X70" s="98">
        <f t="shared" si="13"/>
        <v>0</v>
      </c>
      <c r="Y70" s="98">
        <v>3</v>
      </c>
      <c r="AB70" s="463" t="str">
        <f>IF(AM67&lt;$AJ$67,"An amount has not been provided in year 3 for all 'Other Income' listed."," ")</f>
        <v xml:space="preserve"> </v>
      </c>
      <c r="AJ70" s="98">
        <f>COUNTIF('C(1)-Rental Operating ProForma'!D17:H17,"&lt;&gt;")</f>
        <v>0</v>
      </c>
      <c r="AK70" s="98">
        <f>COUNTIF('C(1)-Rental Operating ProForma'!K17,"&gt;0")</f>
        <v>0</v>
      </c>
      <c r="AL70" s="98">
        <f>COUNTIF('C(1)-Rental Operating ProForma'!L17,"&gt;0")</f>
        <v>0</v>
      </c>
      <c r="AM70" s="98">
        <f>COUNTIF('C(1)-Rental Operating ProForma'!M17,"&gt;0")</f>
        <v>0</v>
      </c>
      <c r="AN70" s="98">
        <f>COUNTIF('C(1)-Rental Operating ProForma'!N17,"&gt;0")</f>
        <v>0</v>
      </c>
      <c r="AO70" s="98">
        <f>COUNTIF('C(1)-Rental Operating ProForma'!O17,"&gt;0")</f>
        <v>0</v>
      </c>
      <c r="AP70" s="98">
        <f>COUNTIF('C(1)-Rental Operating ProForma'!P17,"&gt;0")</f>
        <v>0</v>
      </c>
      <c r="AQ70" s="98">
        <f>COUNTIF('C(1)-Rental Operating ProForma'!Q17,"&gt;0")</f>
        <v>0</v>
      </c>
      <c r="AR70" s="97">
        <f>COUNTIF(AK70:AQ70,"&gt;0")</f>
        <v>0</v>
      </c>
      <c r="AS70" s="97">
        <f>IF(AND(AJ70=0,AR70&gt;0),1,0)</f>
        <v>0</v>
      </c>
    </row>
    <row r="71" spans="2:56" ht="12" customHeight="1">
      <c r="B71" s="2405" t="str">
        <f>IF('Project Info and Instructions'!$F$20="Rental",IF($T$68&gt;=Y75,(VLOOKUP(Y75,$V$68:$AB$84,7,FALSE))," ")," ")</f>
        <v xml:space="preserve"> </v>
      </c>
      <c r="C71" s="2406"/>
      <c r="D71" s="2406"/>
      <c r="E71" s="2406"/>
      <c r="F71" s="2406"/>
      <c r="G71" s="2406"/>
      <c r="H71" s="2406"/>
      <c r="I71" s="2406"/>
      <c r="J71" s="2406"/>
      <c r="K71" s="2406"/>
      <c r="L71" s="2406"/>
      <c r="M71" s="2407"/>
      <c r="U71" s="98">
        <f t="shared" si="12"/>
        <v>2</v>
      </c>
      <c r="V71" s="98">
        <f>IF(W71&gt;0,X71+X70+X69+X68,0)</f>
        <v>0</v>
      </c>
      <c r="W71" s="98">
        <f>IF(X71&gt;0,W70+X71,0)</f>
        <v>0</v>
      </c>
      <c r="X71" s="98">
        <f t="shared" si="13"/>
        <v>0</v>
      </c>
      <c r="Y71" s="98">
        <v>4</v>
      </c>
      <c r="AB71" s="463" t="str">
        <f>IF(AN67&lt;$AJ$67,"An amount has not been provided in year 4 for all 'Other Income' listed."," ")</f>
        <v xml:space="preserve"> </v>
      </c>
      <c r="AJ71" s="98">
        <f>COUNTIF('C(1)-Rental Operating ProForma'!D18:H18,"&lt;&gt;")</f>
        <v>0</v>
      </c>
      <c r="AK71" s="98">
        <f>COUNTIF('C(1)-Rental Operating ProForma'!K18,"&gt;0")</f>
        <v>0</v>
      </c>
      <c r="AL71" s="98">
        <f>COUNTIF('C(1)-Rental Operating ProForma'!L18,"&gt;0")</f>
        <v>0</v>
      </c>
      <c r="AM71" s="98">
        <f>COUNTIF('C(1)-Rental Operating ProForma'!M18,"&gt;0")</f>
        <v>0</v>
      </c>
      <c r="AN71" s="98">
        <f>COUNTIF('C(1)-Rental Operating ProForma'!N18,"&gt;0")</f>
        <v>0</v>
      </c>
      <c r="AO71" s="98">
        <f>COUNTIF('C(1)-Rental Operating ProForma'!O18,"&gt;0")</f>
        <v>0</v>
      </c>
      <c r="AP71" s="98">
        <f>COUNTIF('C(1)-Rental Operating ProForma'!P18,"&gt;0")</f>
        <v>0</v>
      </c>
      <c r="AQ71" s="98">
        <f>COUNTIF('C(1)-Rental Operating ProForma'!Q18,"&gt;0")</f>
        <v>0</v>
      </c>
      <c r="AR71" s="97">
        <f>COUNTIF(AK71:AQ71,"&gt;0")</f>
        <v>0</v>
      </c>
      <c r="AS71" s="97">
        <f>IF(AND(AJ71=0,AR71&gt;0),1,0)</f>
        <v>0</v>
      </c>
    </row>
    <row r="72" spans="2:56" ht="12" customHeight="1">
      <c r="B72" s="2405" t="str">
        <f>IF('Project Info and Instructions'!$F$20="Rental",IF($T$68&gt;=Y76,(VLOOKUP(Y76,$V$68:$AB$84,7,FALSE))," ")," ")</f>
        <v xml:space="preserve"> </v>
      </c>
      <c r="C72" s="2406"/>
      <c r="D72" s="2406"/>
      <c r="E72" s="2406"/>
      <c r="F72" s="2406"/>
      <c r="G72" s="2406"/>
      <c r="H72" s="2406"/>
      <c r="I72" s="2406"/>
      <c r="J72" s="2406"/>
      <c r="K72" s="2406"/>
      <c r="L72" s="2406"/>
      <c r="M72" s="2407"/>
      <c r="U72" s="98">
        <f t="shared" si="12"/>
        <v>2</v>
      </c>
      <c r="V72" s="98">
        <f>IF(W72&gt;0,X72+X71+X70+X69+X68,0)</f>
        <v>0</v>
      </c>
      <c r="W72" s="98">
        <f>IF(X72&gt;0,W71+X72,0)</f>
        <v>0</v>
      </c>
      <c r="X72" s="98">
        <f t="shared" si="13"/>
        <v>0</v>
      </c>
      <c r="Y72" s="98">
        <v>5</v>
      </c>
      <c r="AB72" s="463" t="str">
        <f>IF(AO67&lt;$AJ$67,"An amount has not been provided in year 5 for all 'Other Income' listed."," ")</f>
        <v xml:space="preserve"> </v>
      </c>
      <c r="AJ72" s="98">
        <f>COUNTIF('C(1)-Rental Operating ProForma'!D19:H19,"&lt;&gt;")</f>
        <v>0</v>
      </c>
      <c r="AK72" s="98">
        <f>COUNTIF('C(1)-Rental Operating ProForma'!K19,"&gt;0")</f>
        <v>0</v>
      </c>
      <c r="AL72" s="98">
        <f>COUNTIF('C(1)-Rental Operating ProForma'!L19,"&gt;0")</f>
        <v>0</v>
      </c>
      <c r="AM72" s="98">
        <f>COUNTIF('C(1)-Rental Operating ProForma'!M19,"&gt;0")</f>
        <v>0</v>
      </c>
      <c r="AN72" s="98">
        <f>COUNTIF('C(1)-Rental Operating ProForma'!N19,"&gt;0")</f>
        <v>0</v>
      </c>
      <c r="AO72" s="98">
        <f>COUNTIF('C(1)-Rental Operating ProForma'!O19,"&gt;0")</f>
        <v>0</v>
      </c>
      <c r="AP72" s="98">
        <f>COUNTIF('C(1)-Rental Operating ProForma'!P19,"&gt;0")</f>
        <v>0</v>
      </c>
      <c r="AQ72" s="98">
        <f>COUNTIF('C(1)-Rental Operating ProForma'!Q19,"&gt;0")</f>
        <v>0</v>
      </c>
      <c r="AR72" s="97">
        <f>COUNTIF(AK72:AQ72,"&gt;0")</f>
        <v>0</v>
      </c>
      <c r="AS72" s="97">
        <f>IF(AND(AJ72=0,AR72&gt;0),1,0)</f>
        <v>0</v>
      </c>
    </row>
    <row r="73" spans="2:56" ht="12" customHeight="1">
      <c r="B73" s="2405" t="str">
        <f>IF('Project Info and Instructions'!$F$20="Rental",IF($T$68&gt;=Y77,(VLOOKUP(Y77,$V$68:$AB$84,7,FALSE))," ")," ")</f>
        <v xml:space="preserve"> </v>
      </c>
      <c r="C73" s="2406"/>
      <c r="D73" s="2406"/>
      <c r="E73" s="2406"/>
      <c r="F73" s="2406"/>
      <c r="G73" s="2406"/>
      <c r="H73" s="2406"/>
      <c r="I73" s="2406"/>
      <c r="J73" s="2406"/>
      <c r="K73" s="2406"/>
      <c r="L73" s="2406"/>
      <c r="M73" s="2407"/>
      <c r="U73" s="98">
        <f t="shared" si="12"/>
        <v>2</v>
      </c>
      <c r="V73" s="98">
        <f>IF(W73&gt;0,X73+X72+X71+X70+X69+X68,0)</f>
        <v>0</v>
      </c>
      <c r="W73" s="98">
        <f t="shared" ref="W73:W80" si="14">IF(X73&gt;0,W72+X73,0)</f>
        <v>0</v>
      </c>
      <c r="X73" s="98">
        <f t="shared" si="13"/>
        <v>0</v>
      </c>
      <c r="Y73" s="98">
        <v>6</v>
      </c>
      <c r="AB73" s="463" t="str">
        <f>IF(AP67&lt;$AJ$67,"An amount has not been provided in year 10 for all 'Other Income' listed."," ")</f>
        <v xml:space="preserve"> </v>
      </c>
      <c r="AS73" s="97">
        <f>SUM(AS70:AS72)</f>
        <v>0</v>
      </c>
    </row>
    <row r="74" spans="2:56" ht="12" customHeight="1">
      <c r="B74" s="2405" t="str">
        <f>IF('Project Info and Instructions'!$F$20="Rental",IF($T$68&gt;=Y78,(VLOOKUP(Y78,$V$68:$AB$84,7,FALSE))," ")," ")</f>
        <v xml:space="preserve"> </v>
      </c>
      <c r="C74" s="2406"/>
      <c r="D74" s="2406"/>
      <c r="E74" s="2406"/>
      <c r="F74" s="2406"/>
      <c r="G74" s="2406"/>
      <c r="H74" s="2406"/>
      <c r="I74" s="2406"/>
      <c r="J74" s="2406"/>
      <c r="K74" s="2406"/>
      <c r="L74" s="2406"/>
      <c r="M74" s="2407"/>
      <c r="U74" s="98">
        <f t="shared" si="12"/>
        <v>2</v>
      </c>
      <c r="V74" s="98">
        <f>IF(W74&gt;0,X68+X74+X73+X72+X71+X70+X69,0)</f>
        <v>0</v>
      </c>
      <c r="W74" s="98">
        <f t="shared" si="14"/>
        <v>0</v>
      </c>
      <c r="X74" s="98">
        <f t="shared" si="13"/>
        <v>0</v>
      </c>
      <c r="Y74" s="98">
        <v>7</v>
      </c>
      <c r="AB74" s="463" t="str">
        <f>IF(AQ67&lt;$AJ$67,"An amount has not been provided in year 15 for all 'Other Income' listed."," ")</f>
        <v xml:space="preserve"> </v>
      </c>
      <c r="AJ74" s="98" t="s">
        <v>844</v>
      </c>
      <c r="AK74" s="98" t="s">
        <v>8</v>
      </c>
      <c r="AL74" s="98" t="s">
        <v>9</v>
      </c>
      <c r="AM74" s="98" t="s">
        <v>10</v>
      </c>
      <c r="AN74" s="98" t="s">
        <v>11</v>
      </c>
      <c r="AO74" s="98" t="s">
        <v>12</v>
      </c>
      <c r="AP74" s="98" t="s">
        <v>13</v>
      </c>
      <c r="AQ74" s="97" t="s">
        <v>14</v>
      </c>
    </row>
    <row r="75" spans="2:56" ht="12" customHeight="1">
      <c r="B75" s="2405" t="str">
        <f>IF('Project Info and Instructions'!$F$20="Rental",IF($T$68&gt;=Y79,(VLOOKUP(Y79,$V$68:$AB$84,7,FALSE))," ")," ")</f>
        <v xml:space="preserve"> </v>
      </c>
      <c r="C75" s="2406"/>
      <c r="D75" s="2406"/>
      <c r="E75" s="2406"/>
      <c r="F75" s="2406"/>
      <c r="G75" s="2406"/>
      <c r="H75" s="2406"/>
      <c r="I75" s="2406"/>
      <c r="J75" s="2406"/>
      <c r="K75" s="2406"/>
      <c r="L75" s="2406"/>
      <c r="M75" s="2407"/>
      <c r="U75" s="98">
        <f t="shared" si="12"/>
        <v>1</v>
      </c>
      <c r="V75" s="98">
        <f>IF(W75&gt;0,X69+X68+X75+X74+X73+X72+X71+X70,0)</f>
        <v>1</v>
      </c>
      <c r="W75" s="98">
        <f t="shared" si="14"/>
        <v>1</v>
      </c>
      <c r="X75" s="98">
        <f t="shared" si="13"/>
        <v>1</v>
      </c>
      <c r="Y75" s="98">
        <v>8</v>
      </c>
      <c r="AB75" s="463" t="str">
        <f>IF('C(1)-Rental Operating ProForma'!H22="","A vacancy rate has not been indicated."," ")</f>
        <v>A vacancy rate has not been indicated.</v>
      </c>
      <c r="AJ75" s="98">
        <f>COUNTIF('C(1)-Rental Operating ProForma'!D39:H41,"&lt;&gt;")</f>
        <v>0</v>
      </c>
      <c r="AK75" s="98">
        <f>COUNTIF('C(1)-Rental Operating ProForma'!K39:K41,"&lt;&gt;")</f>
        <v>0</v>
      </c>
      <c r="AL75" s="98">
        <f>COUNTIF('C(1)-Rental Operating ProForma'!L39:L41,"&lt;&gt;")</f>
        <v>0</v>
      </c>
      <c r="AM75" s="98">
        <f>COUNTIF('C(1)-Rental Operating ProForma'!M39:M41,"&lt;&gt;")</f>
        <v>0</v>
      </c>
      <c r="AN75" s="98">
        <f>COUNTIF('C(1)-Rental Operating ProForma'!N39:N41,"&lt;&gt;")</f>
        <v>0</v>
      </c>
      <c r="AO75" s="98">
        <f>COUNTIF('C(1)-Rental Operating ProForma'!O39:O41,"&lt;&gt;")</f>
        <v>0</v>
      </c>
      <c r="AP75" s="98">
        <f>COUNTIF('C(1)-Rental Operating ProForma'!P39:P41,"&lt;&gt;")</f>
        <v>0</v>
      </c>
      <c r="AQ75" s="98">
        <f>COUNTIF('C(1)-Rental Operating ProForma'!Q39:Q41,"&lt;&gt;")</f>
        <v>0</v>
      </c>
    </row>
    <row r="76" spans="2:56" ht="12" customHeight="1">
      <c r="B76" s="2405" t="str">
        <f>IF('Project Info and Instructions'!$F$20="Rental",IF($T$68&gt;=Y80,(VLOOKUP(Y80,$V$68:$AB$84,7,FALSE))," ")," ")</f>
        <v xml:space="preserve"> </v>
      </c>
      <c r="C76" s="2406"/>
      <c r="D76" s="2406"/>
      <c r="E76" s="2406"/>
      <c r="F76" s="2406"/>
      <c r="G76" s="2406"/>
      <c r="H76" s="2406"/>
      <c r="I76" s="2406"/>
      <c r="J76" s="2406"/>
      <c r="K76" s="2406"/>
      <c r="L76" s="2406"/>
      <c r="M76" s="2407"/>
      <c r="U76" s="98">
        <f t="shared" si="12"/>
        <v>2</v>
      </c>
      <c r="V76" s="98">
        <f>IF(W76&gt;0,X70+X69+X76+X75+X74+X73+X72+X71+X68,0)</f>
        <v>0</v>
      </c>
      <c r="W76" s="98">
        <f t="shared" si="14"/>
        <v>0</v>
      </c>
      <c r="X76" s="98">
        <f t="shared" si="13"/>
        <v>0</v>
      </c>
      <c r="Y76" s="98">
        <v>9</v>
      </c>
      <c r="AB76" s="463" t="str">
        <f>IF(AS73&gt;0,"An 'Other Income' amount was indicated but no description was provided."," ")</f>
        <v xml:space="preserve"> </v>
      </c>
    </row>
    <row r="77" spans="2:56" ht="12" customHeight="1">
      <c r="B77" s="2405" t="str">
        <f>IF('Project Info and Instructions'!$F$20="Rental",IF($T$68&gt;=Y81,(VLOOKUP(Y81,$V$68:$AB$84,7,FALSE))," ")," ")</f>
        <v xml:space="preserve"> </v>
      </c>
      <c r="C77" s="2406"/>
      <c r="D77" s="2406"/>
      <c r="E77" s="2406"/>
      <c r="F77" s="2406"/>
      <c r="G77" s="2406"/>
      <c r="H77" s="2406"/>
      <c r="I77" s="2406"/>
      <c r="J77" s="2406"/>
      <c r="K77" s="2406"/>
      <c r="L77" s="2406"/>
      <c r="M77" s="2407"/>
      <c r="U77" s="98">
        <f t="shared" si="12"/>
        <v>2</v>
      </c>
      <c r="V77" s="98">
        <f>IF(W77&gt;0,X71+X70+X77+X76+X75+X74+X73+X72+X69+X68,0)</f>
        <v>0</v>
      </c>
      <c r="W77" s="98">
        <f t="shared" si="14"/>
        <v>0</v>
      </c>
      <c r="X77" s="98">
        <f t="shared" si="13"/>
        <v>0</v>
      </c>
      <c r="Y77" s="98">
        <v>10</v>
      </c>
      <c r="AB77" s="463" t="str">
        <f>IF(AK75&lt;$AJ$75,"An amount has not been provided in year 1 for all 'Other Expenses' listed."," ")</f>
        <v xml:space="preserve"> </v>
      </c>
      <c r="AJ77" s="98" t="s">
        <v>845</v>
      </c>
    </row>
    <row r="78" spans="2:56" ht="12" customHeight="1">
      <c r="B78" s="2405" t="str">
        <f>IF('Project Info and Instructions'!$F$20="Rental",IF($T$68&gt;=Y82,(VLOOKUP(Y82,$V$68:$AB$84,7,FALSE))," ")," ")</f>
        <v xml:space="preserve"> </v>
      </c>
      <c r="C78" s="2406"/>
      <c r="D78" s="2406"/>
      <c r="E78" s="2406"/>
      <c r="F78" s="2406"/>
      <c r="G78" s="2406"/>
      <c r="H78" s="2406"/>
      <c r="I78" s="2406"/>
      <c r="J78" s="2406"/>
      <c r="K78" s="2406"/>
      <c r="L78" s="2406"/>
      <c r="M78" s="2407"/>
      <c r="U78" s="98">
        <f t="shared" si="12"/>
        <v>2</v>
      </c>
      <c r="V78" s="98">
        <f>IF(W78&gt;0,X72+X71+X78+X77+X76+X75+X74+X73+X70+X69+X68,0)</f>
        <v>0</v>
      </c>
      <c r="W78" s="98">
        <f t="shared" si="14"/>
        <v>0</v>
      </c>
      <c r="X78" s="98">
        <f t="shared" si="13"/>
        <v>0</v>
      </c>
      <c r="Y78" s="98">
        <v>11</v>
      </c>
      <c r="AB78" s="463" t="str">
        <f>IF(AL75&lt;$AJ$75,"An amount has not been provided in year 2 for all 'Other Expenses' listed."," ")</f>
        <v xml:space="preserve"> </v>
      </c>
      <c r="AJ78" s="98">
        <f>COUNTIF('C(1)-Rental Operating ProForma'!D39:H39,"&lt;&gt;")</f>
        <v>0</v>
      </c>
      <c r="AK78" s="98">
        <f>COUNTIF('C(1)-Rental Operating ProForma'!K39,"&gt;0")</f>
        <v>0</v>
      </c>
      <c r="AL78" s="98">
        <f>COUNTIF('C(1)-Rental Operating ProForma'!L39,"&gt;0")</f>
        <v>0</v>
      </c>
      <c r="AM78" s="98">
        <f>COUNTIF('C(1)-Rental Operating ProForma'!M39,"&gt;0")</f>
        <v>0</v>
      </c>
      <c r="AN78" s="98">
        <f>COUNTIF('C(1)-Rental Operating ProForma'!N39,"&gt;0")</f>
        <v>0</v>
      </c>
      <c r="AO78" s="98">
        <f>COUNTIF('C(1)-Rental Operating ProForma'!O39,"&gt;0")</f>
        <v>0</v>
      </c>
      <c r="AP78" s="98">
        <f>COUNTIF('C(1)-Rental Operating ProForma'!P39,"&gt;0")</f>
        <v>0</v>
      </c>
      <c r="AQ78" s="98">
        <f>COUNTIF('C(1)-Rental Operating ProForma'!Q39,"&gt;0")</f>
        <v>0</v>
      </c>
      <c r="AR78" s="97">
        <f>COUNTIF(AK78:AQ78,"&gt;0")</f>
        <v>0</v>
      </c>
      <c r="AS78" s="97">
        <f>IF(AND(AJ78=0,AR78&gt;0),1,0)</f>
        <v>0</v>
      </c>
    </row>
    <row r="79" spans="2:56" ht="12" customHeight="1">
      <c r="B79" s="2405" t="str">
        <f>IF('Project Info and Instructions'!$F$20="Rental",IF($T$68&gt;=Y83,(VLOOKUP(Y83,$V$68:$AB$84,7,FALSE))," ")," ")</f>
        <v xml:space="preserve"> </v>
      </c>
      <c r="C79" s="2406"/>
      <c r="D79" s="2406"/>
      <c r="E79" s="2406"/>
      <c r="F79" s="2406"/>
      <c r="G79" s="2406"/>
      <c r="H79" s="2406"/>
      <c r="I79" s="2406"/>
      <c r="J79" s="2406"/>
      <c r="K79" s="2406"/>
      <c r="L79" s="2406"/>
      <c r="M79" s="2407"/>
      <c r="U79" s="98">
        <f t="shared" si="12"/>
        <v>2</v>
      </c>
      <c r="V79" s="98">
        <f>IF(W79&gt;0,X73+X72+X79+X78+X77+X76+X75+X74+X71+X70+X69+X68,0)</f>
        <v>0</v>
      </c>
      <c r="W79" s="98">
        <f t="shared" si="14"/>
        <v>0</v>
      </c>
      <c r="X79" s="98">
        <f t="shared" si="13"/>
        <v>0</v>
      </c>
      <c r="Y79" s="98">
        <v>12</v>
      </c>
      <c r="AB79" s="463" t="str">
        <f>IF(AM75&lt;$AJ$75,"An amount has not been provided in year 3 for all 'Other Expenses' listed."," ")</f>
        <v xml:space="preserve"> </v>
      </c>
      <c r="AJ79" s="98">
        <f>COUNTIF('C(1)-Rental Operating ProForma'!D40:H40,"&lt;&gt;")</f>
        <v>0</v>
      </c>
      <c r="AK79" s="98">
        <f>COUNTIF('C(1)-Rental Operating ProForma'!K40,"&gt;0")</f>
        <v>0</v>
      </c>
      <c r="AL79" s="98">
        <f>COUNTIF('C(1)-Rental Operating ProForma'!L40,"&gt;0")</f>
        <v>0</v>
      </c>
      <c r="AM79" s="98">
        <f>COUNTIF('C(1)-Rental Operating ProForma'!M40,"&gt;0")</f>
        <v>0</v>
      </c>
      <c r="AN79" s="98">
        <f>COUNTIF('C(1)-Rental Operating ProForma'!N40,"&gt;0")</f>
        <v>0</v>
      </c>
      <c r="AO79" s="98">
        <f>COUNTIF('C(1)-Rental Operating ProForma'!O40,"&gt;0")</f>
        <v>0</v>
      </c>
      <c r="AP79" s="98">
        <f>COUNTIF('C(1)-Rental Operating ProForma'!P40,"&gt;0")</f>
        <v>0</v>
      </c>
      <c r="AQ79" s="98">
        <f>COUNTIF('C(1)-Rental Operating ProForma'!Q40,"&gt;0")</f>
        <v>0</v>
      </c>
      <c r="AR79" s="97">
        <f>COUNTIF(AK79:AQ79,"&gt;0")</f>
        <v>0</v>
      </c>
      <c r="AS79" s="97">
        <f>IF(AND(AJ79=0,AR79&gt;0),1,0)</f>
        <v>0</v>
      </c>
    </row>
    <row r="80" spans="2:56" ht="12" customHeight="1" thickBot="1">
      <c r="B80" s="2402" t="str">
        <f>IF('Project Info and Instructions'!$F$20="Rental",IF($T$68&gt;=Y84,(VLOOKUP(Y84,$V$68:$AB$84,7,FALSE))," ")," ")</f>
        <v xml:space="preserve"> </v>
      </c>
      <c r="C80" s="2403"/>
      <c r="D80" s="2403"/>
      <c r="E80" s="2403"/>
      <c r="F80" s="2403"/>
      <c r="G80" s="2403"/>
      <c r="H80" s="2403"/>
      <c r="I80" s="2403"/>
      <c r="J80" s="2403"/>
      <c r="K80" s="2403"/>
      <c r="L80" s="2403"/>
      <c r="M80" s="2404"/>
      <c r="U80" s="98">
        <f t="shared" si="12"/>
        <v>2</v>
      </c>
      <c r="V80" s="98">
        <f>IF(W80&gt;0,X74+X73+X80+X79+X78+X77+X76+X75+X72+X71+X70+X69+X68,0)</f>
        <v>0</v>
      </c>
      <c r="W80" s="98">
        <f t="shared" si="14"/>
        <v>0</v>
      </c>
      <c r="X80" s="98">
        <f t="shared" si="13"/>
        <v>0</v>
      </c>
      <c r="Y80" s="98">
        <v>13</v>
      </c>
      <c r="AB80" s="463" t="str">
        <f>IF(AN75&lt;$AJ$75,"An amount has not been provided in year 4 for all 'Other Expenses' listed."," ")</f>
        <v xml:space="preserve"> </v>
      </c>
      <c r="AJ80" s="98">
        <f>COUNTIF('C(1)-Rental Operating ProForma'!D41:H41,"&lt;&gt;")</f>
        <v>0</v>
      </c>
      <c r="AK80" s="98">
        <f>COUNTIF('C(1)-Rental Operating ProForma'!K41,"&gt;0")</f>
        <v>0</v>
      </c>
      <c r="AL80" s="98">
        <f>COUNTIF('C(1)-Rental Operating ProForma'!L41,"&gt;0")</f>
        <v>0</v>
      </c>
      <c r="AM80" s="98">
        <f>COUNTIF('C(1)-Rental Operating ProForma'!M41,"&gt;0")</f>
        <v>0</v>
      </c>
      <c r="AN80" s="98">
        <f>COUNTIF('C(1)-Rental Operating ProForma'!N41,"&gt;0")</f>
        <v>0</v>
      </c>
      <c r="AO80" s="98">
        <f>COUNTIF('C(1)-Rental Operating ProForma'!O41,"&gt;0")</f>
        <v>0</v>
      </c>
      <c r="AP80" s="98">
        <f>COUNTIF('C(1)-Rental Operating ProForma'!P41,"&gt;0")</f>
        <v>0</v>
      </c>
      <c r="AQ80" s="98">
        <f>COUNTIF('C(1)-Rental Operating ProForma'!Q41,"&gt;0")</f>
        <v>0</v>
      </c>
      <c r="AR80" s="97">
        <f>COUNTIF(AK80:AQ80,"&gt;0")</f>
        <v>0</v>
      </c>
      <c r="AS80" s="97">
        <f>IF(AND(AJ80=0,AR80&gt;0),1,0)</f>
        <v>0</v>
      </c>
    </row>
    <row r="81" spans="2:56" ht="12.75" customHeight="1" thickTop="1">
      <c r="U81" s="98">
        <f t="shared" si="12"/>
        <v>2</v>
      </c>
      <c r="V81" s="98">
        <f>IF(W81&gt;0,X75+X74+X81+X80+X79+X78+X77+X76+X73+X72+X71+X70+X69+X68,0)</f>
        <v>0</v>
      </c>
      <c r="W81" s="98">
        <f>IF(X81&gt;0,W80+X81,0)</f>
        <v>0</v>
      </c>
      <c r="X81" s="98">
        <f>IF(AB81=" ",0,1)</f>
        <v>0</v>
      </c>
      <c r="Y81" s="98">
        <v>14</v>
      </c>
      <c r="AB81" s="463" t="str">
        <f>IF(AO75&lt;$AJ$75,"An amount has not been provided in year 5 for all 'Other Expenses' listed."," ")</f>
        <v xml:space="preserve"> </v>
      </c>
      <c r="AS81" s="97">
        <f>SUM(AS78:AS80)</f>
        <v>0</v>
      </c>
    </row>
    <row r="82" spans="2:56" ht="32.25" customHeight="1" thickBot="1">
      <c r="B82" s="2421" t="str">
        <f>IF(AND('Project Info and Instructions'!F20="Rental",'Project Info and Instructions'!F22="Yes"),"Commercial ProForma","Commercial ProForma - N/A, Required for Rental Projects With Commercial Space")</f>
        <v>Commercial ProForma - N/A, Required for Rental Projects With Commercial Space</v>
      </c>
      <c r="C82" s="2421"/>
      <c r="D82" s="2421"/>
      <c r="E82" s="2421"/>
      <c r="F82" s="2421"/>
      <c r="G82" s="2421"/>
      <c r="H82" s="2421"/>
      <c r="I82" s="2421"/>
      <c r="J82" s="2421"/>
      <c r="K82" s="2421"/>
      <c r="L82" s="2421"/>
      <c r="M82" s="2421"/>
      <c r="U82" s="98">
        <f t="shared" si="12"/>
        <v>2</v>
      </c>
      <c r="V82" s="98">
        <f>IF(W82&gt;0,X76+X75+X82+X81+X80+X79+X78+X77+X74+X73+X72+X71+X70+X69+X68,0)</f>
        <v>0</v>
      </c>
      <c r="W82" s="98">
        <f>IF(X82&gt;0,W81+X82,0)</f>
        <v>0</v>
      </c>
      <c r="X82" s="98">
        <f>IF(AB82=" ",0,1)</f>
        <v>0</v>
      </c>
      <c r="Y82" s="98">
        <v>15</v>
      </c>
      <c r="AB82" s="463" t="str">
        <f>IF(AP75&lt;$AJ$75,"An amount has not been provided in year 10 for all 'Other Expenses' listed."," ")</f>
        <v xml:space="preserve"> </v>
      </c>
    </row>
    <row r="83" spans="2:56" ht="12" customHeight="1" thickTop="1">
      <c r="B83" s="2408" t="str">
        <f t="shared" ref="B83:B99" si="15">IF($T$93&gt;=Y93,(VLOOKUP(Y93,$V$93:$AB$109,7,FALSE))," ")</f>
        <v>A vacancy rate has not been indicated.</v>
      </c>
      <c r="C83" s="2409"/>
      <c r="D83" s="2409"/>
      <c r="E83" s="2409"/>
      <c r="F83" s="2409"/>
      <c r="G83" s="2409"/>
      <c r="H83" s="2409"/>
      <c r="I83" s="2409"/>
      <c r="J83" s="2409"/>
      <c r="K83" s="2409"/>
      <c r="L83" s="2409"/>
      <c r="M83" s="2410"/>
      <c r="U83" s="98">
        <f t="shared" si="12"/>
        <v>2</v>
      </c>
      <c r="V83" s="98">
        <f>IF(W83&gt;0,X77+X76+X83+X82+X81+X80+X79+X78+X75+X74+X73+X72+X71+X70+X69+X68,0)</f>
        <v>0</v>
      </c>
      <c r="W83" s="98">
        <f>IF(X83&gt;0,W82+X83,0)</f>
        <v>0</v>
      </c>
      <c r="X83" s="98">
        <f>IF(AB83=" ",0,1)</f>
        <v>0</v>
      </c>
      <c r="Y83" s="98">
        <v>16</v>
      </c>
      <c r="AB83" s="463" t="str">
        <f>IF(AQ75&lt;$AJ$75,"An amount has not been provided in year 15 for all 'Other Expenses' listed."," ")</f>
        <v xml:space="preserve"> </v>
      </c>
      <c r="AJ83" s="98" t="s">
        <v>842</v>
      </c>
      <c r="AK83" s="98" t="s">
        <v>8</v>
      </c>
      <c r="AL83" s="98" t="s">
        <v>9</v>
      </c>
      <c r="AM83" s="98" t="s">
        <v>10</v>
      </c>
      <c r="AN83" s="98" t="s">
        <v>11</v>
      </c>
      <c r="AO83" s="98" t="s">
        <v>12</v>
      </c>
      <c r="AP83" s="98" t="s">
        <v>13</v>
      </c>
      <c r="AQ83" s="97" t="s">
        <v>14</v>
      </c>
    </row>
    <row r="84" spans="2:56" ht="12" customHeight="1">
      <c r="B84" s="2405" t="str">
        <f t="shared" si="15"/>
        <v xml:space="preserve"> </v>
      </c>
      <c r="C84" s="2406"/>
      <c r="D84" s="2406"/>
      <c r="E84" s="2406"/>
      <c r="F84" s="2406"/>
      <c r="G84" s="2406"/>
      <c r="H84" s="2406"/>
      <c r="I84" s="2406"/>
      <c r="J84" s="2406"/>
      <c r="K84" s="2406"/>
      <c r="L84" s="2406"/>
      <c r="M84" s="2407"/>
      <c r="U84" s="98">
        <f t="shared" si="12"/>
        <v>2</v>
      </c>
      <c r="V84" s="98">
        <f>IF(W84&gt;0,X78+X77+X84+X83+X82+X81+X80+X79+X76+X75+X74+X73+X72+X71+X70+X69+X68,0)</f>
        <v>0</v>
      </c>
      <c r="W84" s="98">
        <f>IF(X84&gt;0,W83+X84,0)</f>
        <v>0</v>
      </c>
      <c r="X84" s="98">
        <f>IF(AB84=" ",0,1)</f>
        <v>0</v>
      </c>
      <c r="Y84" s="98">
        <v>17</v>
      </c>
      <c r="AB84" s="463" t="str">
        <f>IF(AS81&gt;0,"An 'Other Expense' amount was indicated but no description was provided."," ")</f>
        <v xml:space="preserve"> </v>
      </c>
      <c r="AJ84" s="98">
        <f>COUNTIF('C(2)-Commercial ProForma'!D17:H19,"&lt;&gt;")</f>
        <v>0</v>
      </c>
      <c r="AK84" s="98">
        <f>COUNTIF('C(2)-Commercial ProForma'!K17:K19,"&lt;&gt;")</f>
        <v>0</v>
      </c>
      <c r="AL84" s="98">
        <f>COUNTIF('C(2)-Commercial ProForma'!L17:L19,"&lt;&gt;")</f>
        <v>0</v>
      </c>
      <c r="AM84" s="98">
        <f>COUNTIF('C(2)-Commercial ProForma'!M17:M19,"&lt;&gt;")</f>
        <v>0</v>
      </c>
      <c r="AN84" s="98">
        <f>COUNTIF('C(2)-Commercial ProForma'!N17:N19,"&lt;&gt;")</f>
        <v>0</v>
      </c>
      <c r="AO84" s="98">
        <f>COUNTIF('C(2)-Commercial ProForma'!O17:O19,"&lt;&gt;")</f>
        <v>0</v>
      </c>
      <c r="AP84" s="98">
        <f>COUNTIF('C(2)-Commercial ProForma'!P17:P19,"&lt;&gt;")</f>
        <v>0</v>
      </c>
      <c r="AQ84" s="98">
        <f>COUNTIF('C(2)-Commercial ProForma'!Q17:Q19,"&lt;&gt;")</f>
        <v>0</v>
      </c>
    </row>
    <row r="85" spans="2:56" ht="12" customHeight="1">
      <c r="B85" s="2405" t="str">
        <f t="shared" si="15"/>
        <v xml:space="preserve"> </v>
      </c>
      <c r="C85" s="2406"/>
      <c r="D85" s="2406"/>
      <c r="E85" s="2406"/>
      <c r="F85" s="2406"/>
      <c r="G85" s="2406"/>
      <c r="H85" s="2406"/>
      <c r="I85" s="2406"/>
      <c r="J85" s="2406"/>
      <c r="K85" s="2406"/>
      <c r="L85" s="2406"/>
      <c r="M85" s="2407"/>
      <c r="N85" s="457"/>
      <c r="O85" s="457"/>
      <c r="P85" s="457"/>
    </row>
    <row r="86" spans="2:56" ht="12" customHeight="1">
      <c r="B86" s="2405" t="str">
        <f t="shared" si="15"/>
        <v xml:space="preserve"> </v>
      </c>
      <c r="C86" s="2406"/>
      <c r="D86" s="2406"/>
      <c r="E86" s="2406"/>
      <c r="F86" s="2406"/>
      <c r="G86" s="2406"/>
      <c r="H86" s="2406"/>
      <c r="I86" s="2406"/>
      <c r="J86" s="2406"/>
      <c r="K86" s="2406"/>
      <c r="L86" s="2406"/>
      <c r="M86" s="2407"/>
      <c r="AJ86" s="98" t="s">
        <v>843</v>
      </c>
    </row>
    <row r="87" spans="2:56" ht="12" customHeight="1">
      <c r="B87" s="2405" t="str">
        <f t="shared" si="15"/>
        <v xml:space="preserve"> </v>
      </c>
      <c r="C87" s="2406"/>
      <c r="D87" s="2406"/>
      <c r="E87" s="2406"/>
      <c r="F87" s="2406"/>
      <c r="G87" s="2406"/>
      <c r="H87" s="2406"/>
      <c r="I87" s="2406"/>
      <c r="J87" s="2406"/>
      <c r="K87" s="2406"/>
      <c r="L87" s="2406"/>
      <c r="M87" s="2407"/>
      <c r="AJ87" s="98">
        <f>COUNTIF('C(2)-Commercial ProForma'!D17:H17,"&lt;&gt;")</f>
        <v>0</v>
      </c>
      <c r="AK87" s="98">
        <f>COUNTIF('C(2)-Commercial ProForma'!K17,"&gt;0")</f>
        <v>0</v>
      </c>
      <c r="AL87" s="98">
        <f>COUNTIF('C(2)-Commercial ProForma'!L17,"&gt;0")</f>
        <v>0</v>
      </c>
      <c r="AM87" s="98">
        <f>COUNTIF('C(2)-Commercial ProForma'!M17,"&gt;0")</f>
        <v>0</v>
      </c>
      <c r="AN87" s="98">
        <f>COUNTIF('C(2)-Commercial ProForma'!N17,"&gt;0")</f>
        <v>0</v>
      </c>
      <c r="AO87" s="98">
        <f>COUNTIF('C(2)-Commercial ProForma'!O17,"&gt;0")</f>
        <v>0</v>
      </c>
      <c r="AP87" s="98">
        <f>COUNTIF('C(2)-Commercial ProForma'!P17,"&gt;0")</f>
        <v>0</v>
      </c>
      <c r="AQ87" s="98">
        <f>COUNTIF('C(2)-Commercial ProForma'!Q17,"&gt;0")</f>
        <v>0</v>
      </c>
      <c r="AR87" s="97">
        <f>COUNTIF(AK87:AQ87,"&gt;0")</f>
        <v>0</v>
      </c>
      <c r="AS87" s="97">
        <f>IF(AND(AJ87=0,AR87&gt;0),1,0)</f>
        <v>0</v>
      </c>
    </row>
    <row r="88" spans="2:56" ht="12" customHeight="1">
      <c r="B88" s="2405" t="str">
        <f t="shared" si="15"/>
        <v xml:space="preserve"> </v>
      </c>
      <c r="C88" s="2406"/>
      <c r="D88" s="2406"/>
      <c r="E88" s="2406"/>
      <c r="F88" s="2406"/>
      <c r="G88" s="2406"/>
      <c r="H88" s="2406"/>
      <c r="I88" s="2406"/>
      <c r="J88" s="2406"/>
      <c r="K88" s="2406"/>
      <c r="L88" s="2406"/>
      <c r="M88" s="2407"/>
      <c r="AJ88" s="98">
        <f>COUNTIF('C(2)-Commercial ProForma'!D18:H18,"&lt;&gt;")</f>
        <v>0</v>
      </c>
      <c r="AK88" s="98">
        <f>COUNTIF('C(2)-Commercial ProForma'!K18,"&gt;0")</f>
        <v>0</v>
      </c>
      <c r="AL88" s="98">
        <f>COUNTIF('C(2)-Commercial ProForma'!L18,"&gt;0")</f>
        <v>0</v>
      </c>
      <c r="AM88" s="98">
        <f>COUNTIF('C(2)-Commercial ProForma'!M18,"&gt;0")</f>
        <v>0</v>
      </c>
      <c r="AN88" s="98">
        <f>COUNTIF('C(2)-Commercial ProForma'!N18,"&gt;0")</f>
        <v>0</v>
      </c>
      <c r="AO88" s="98">
        <f>COUNTIF('C(2)-Commercial ProForma'!O18,"&gt;0")</f>
        <v>0</v>
      </c>
      <c r="AP88" s="98">
        <f>COUNTIF('C(2)-Commercial ProForma'!P18,"&gt;0")</f>
        <v>0</v>
      </c>
      <c r="AQ88" s="98">
        <f>COUNTIF('C(2)-Commercial ProForma'!Q18,"&gt;0")</f>
        <v>0</v>
      </c>
      <c r="AR88" s="97">
        <f>COUNTIF(AK88:AQ88,"&gt;0")</f>
        <v>0</v>
      </c>
      <c r="AS88" s="97">
        <f>IF(AND(AJ88=0,AR88&gt;0),1,0)</f>
        <v>0</v>
      </c>
    </row>
    <row r="89" spans="2:56" ht="12" customHeight="1">
      <c r="B89" s="2405" t="str">
        <f t="shared" si="15"/>
        <v xml:space="preserve"> </v>
      </c>
      <c r="C89" s="2406"/>
      <c r="D89" s="2406"/>
      <c r="E89" s="2406"/>
      <c r="F89" s="2406"/>
      <c r="G89" s="2406"/>
      <c r="H89" s="2406"/>
      <c r="I89" s="2406"/>
      <c r="J89" s="2406"/>
      <c r="K89" s="2406"/>
      <c r="L89" s="2406"/>
      <c r="M89" s="2407"/>
      <c r="AJ89" s="98">
        <f>COUNTIF('C(2)-Commercial ProForma'!D19:H19,"&lt;&gt;")</f>
        <v>0</v>
      </c>
      <c r="AK89" s="98">
        <f>COUNTIF('C(2)-Commercial ProForma'!K19,"&gt;0")</f>
        <v>0</v>
      </c>
      <c r="AL89" s="98">
        <f>COUNTIF('C(2)-Commercial ProForma'!L19,"&gt;0")</f>
        <v>0</v>
      </c>
      <c r="AM89" s="98">
        <f>COUNTIF('C(2)-Commercial ProForma'!M19,"&gt;0")</f>
        <v>0</v>
      </c>
      <c r="AN89" s="98">
        <f>COUNTIF('C(2)-Commercial ProForma'!N19,"&gt;0")</f>
        <v>0</v>
      </c>
      <c r="AO89" s="98">
        <f>COUNTIF('C(2)-Commercial ProForma'!O19,"&gt;0")</f>
        <v>0</v>
      </c>
      <c r="AP89" s="98">
        <f>COUNTIF('C(2)-Commercial ProForma'!P19,"&gt;0")</f>
        <v>0</v>
      </c>
      <c r="AQ89" s="98">
        <f>COUNTIF('C(2)-Commercial ProForma'!Q19,"&gt;0")</f>
        <v>0</v>
      </c>
      <c r="AR89" s="97">
        <f>COUNTIF(AK89:AQ89,"&gt;0")</f>
        <v>0</v>
      </c>
      <c r="AS89" s="97">
        <f>IF(AND(AJ89=0,AR89&gt;0),1,0)</f>
        <v>0</v>
      </c>
    </row>
    <row r="90" spans="2:56" ht="12" customHeight="1">
      <c r="B90" s="2405" t="str">
        <f t="shared" si="15"/>
        <v xml:space="preserve"> </v>
      </c>
      <c r="C90" s="2406"/>
      <c r="D90" s="2406"/>
      <c r="E90" s="2406"/>
      <c r="F90" s="2406"/>
      <c r="G90" s="2406"/>
      <c r="H90" s="2406"/>
      <c r="I90" s="2406"/>
      <c r="J90" s="2406"/>
      <c r="K90" s="2406"/>
      <c r="L90" s="2406"/>
      <c r="M90" s="2407"/>
      <c r="AS90" s="97">
        <f>SUM(AS87:AS89)</f>
        <v>0</v>
      </c>
    </row>
    <row r="91" spans="2:56" ht="12" customHeight="1">
      <c r="B91" s="2405" t="str">
        <f t="shared" si="15"/>
        <v xml:space="preserve"> </v>
      </c>
      <c r="C91" s="2406"/>
      <c r="D91" s="2406"/>
      <c r="E91" s="2406"/>
      <c r="F91" s="2406"/>
      <c r="G91" s="2406"/>
      <c r="H91" s="2406"/>
      <c r="I91" s="2406"/>
      <c r="J91" s="2406"/>
      <c r="K91" s="2406"/>
      <c r="L91" s="2406"/>
      <c r="M91" s="2407"/>
      <c r="AJ91" s="98" t="s">
        <v>844</v>
      </c>
      <c r="AK91" s="98" t="s">
        <v>8</v>
      </c>
      <c r="AL91" s="98" t="s">
        <v>9</v>
      </c>
      <c r="AM91" s="98" t="s">
        <v>10</v>
      </c>
      <c r="AN91" s="98" t="s">
        <v>11</v>
      </c>
      <c r="AO91" s="98" t="s">
        <v>12</v>
      </c>
      <c r="AP91" s="98" t="s">
        <v>13</v>
      </c>
      <c r="AQ91" s="97" t="s">
        <v>14</v>
      </c>
    </row>
    <row r="92" spans="2:56" ht="12" customHeight="1">
      <c r="B92" s="2405" t="str">
        <f t="shared" si="15"/>
        <v xml:space="preserve"> </v>
      </c>
      <c r="C92" s="2406"/>
      <c r="D92" s="2406"/>
      <c r="E92" s="2406"/>
      <c r="F92" s="2406"/>
      <c r="G92" s="2406"/>
      <c r="H92" s="2406"/>
      <c r="I92" s="2406"/>
      <c r="J92" s="2406"/>
      <c r="K92" s="2406"/>
      <c r="L92" s="2406"/>
      <c r="M92" s="2407"/>
      <c r="AJ92" s="98">
        <f>COUNTIF('C(2)-Commercial ProForma'!D39:H41,"&lt;&gt;")</f>
        <v>0</v>
      </c>
      <c r="AK92" s="98">
        <f>COUNTIF('C(2)-Commercial ProForma'!K39:K41,"&lt;&gt;")</f>
        <v>0</v>
      </c>
      <c r="AL92" s="98">
        <f>COUNTIF('C(2)-Commercial ProForma'!L39:L41,"&lt;&gt;")</f>
        <v>0</v>
      </c>
      <c r="AM92" s="98">
        <f>COUNTIF('C(2)-Commercial ProForma'!M39:M41,"&lt;&gt;")</f>
        <v>0</v>
      </c>
      <c r="AN92" s="98">
        <f>COUNTIF('C(2)-Commercial ProForma'!N39:N41,"&lt;&gt;")</f>
        <v>0</v>
      </c>
      <c r="AO92" s="98">
        <f>COUNTIF('C(2)-Commercial ProForma'!O39:O41,"&lt;&gt;")</f>
        <v>0</v>
      </c>
      <c r="AP92" s="98">
        <f>COUNTIF('C(2)-Commercial ProForma'!P39:P41,"&lt;&gt;")</f>
        <v>0</v>
      </c>
      <c r="AQ92" s="98">
        <f>COUNTIF('C(2)-Commercial ProForma'!Q39:Q41,"&lt;&gt;")</f>
        <v>0</v>
      </c>
    </row>
    <row r="93" spans="2:56" ht="12" customHeight="1">
      <c r="B93" s="2405" t="str">
        <f t="shared" si="15"/>
        <v xml:space="preserve"> </v>
      </c>
      <c r="C93" s="2406"/>
      <c r="D93" s="2406"/>
      <c r="E93" s="2406"/>
      <c r="F93" s="2406"/>
      <c r="G93" s="2406"/>
      <c r="H93" s="2406"/>
      <c r="I93" s="2406"/>
      <c r="J93" s="2406"/>
      <c r="K93" s="2406"/>
      <c r="L93" s="2406"/>
      <c r="M93" s="2407"/>
      <c r="S93" s="98">
        <f>SUM(X93:X109)</f>
        <v>1</v>
      </c>
      <c r="T93" s="98">
        <f>MAX(V93:V109)</f>
        <v>1</v>
      </c>
      <c r="U93" s="98">
        <f>RANK(V93,$V$93:$V$109)</f>
        <v>2</v>
      </c>
      <c r="V93" s="98">
        <f>IF(W93&gt;0,W93,0)</f>
        <v>0</v>
      </c>
      <c r="W93" s="98">
        <f>X93</f>
        <v>0</v>
      </c>
      <c r="X93" s="98">
        <f>IF(AB93=" ",0,1)</f>
        <v>0</v>
      </c>
      <c r="Y93" s="98">
        <v>1</v>
      </c>
      <c r="AB93" s="463" t="str">
        <f>IF(AK84&lt;$AJ$84,"Amount has not been provided in year 1 for all 'Other Income' listed."," ")</f>
        <v xml:space="preserve"> </v>
      </c>
      <c r="BD93" s="97">
        <f>COUNTIF(B102:B128,"&lt;&gt;"&amp;" ")</f>
        <v>3</v>
      </c>
    </row>
    <row r="94" spans="2:56" ht="12" customHeight="1">
      <c r="B94" s="2405" t="str">
        <f t="shared" si="15"/>
        <v xml:space="preserve"> </v>
      </c>
      <c r="C94" s="2406"/>
      <c r="D94" s="2406"/>
      <c r="E94" s="2406"/>
      <c r="F94" s="2406"/>
      <c r="G94" s="2406"/>
      <c r="H94" s="2406"/>
      <c r="I94" s="2406"/>
      <c r="J94" s="2406"/>
      <c r="K94" s="2406"/>
      <c r="L94" s="2406"/>
      <c r="M94" s="2407"/>
      <c r="U94" s="98">
        <f t="shared" ref="U94:U109" si="16">RANK(V94,$V$93:$V$109)</f>
        <v>2</v>
      </c>
      <c r="V94" s="98">
        <f>IF(W94&gt;0,X94+X93,0)</f>
        <v>0</v>
      </c>
      <c r="W94" s="98">
        <f>IF(X94&gt;0,W93+X94,0)</f>
        <v>0</v>
      </c>
      <c r="X94" s="98">
        <f t="shared" ref="X94:X105" si="17">IF(AB94=" ",0,1)</f>
        <v>0</v>
      </c>
      <c r="Y94" s="98">
        <v>2</v>
      </c>
      <c r="AB94" s="463" t="str">
        <f>IF(AL84&lt;$AJ$84,"Amount has not been provided in year 2 for all 'Other Income' listed."," ")</f>
        <v xml:space="preserve"> </v>
      </c>
      <c r="AJ94" s="98" t="s">
        <v>845</v>
      </c>
    </row>
    <row r="95" spans="2:56" ht="12" customHeight="1">
      <c r="B95" s="2405" t="str">
        <f t="shared" si="15"/>
        <v xml:space="preserve"> </v>
      </c>
      <c r="C95" s="2406"/>
      <c r="D95" s="2406"/>
      <c r="E95" s="2406"/>
      <c r="F95" s="2406"/>
      <c r="G95" s="2406"/>
      <c r="H95" s="2406"/>
      <c r="I95" s="2406"/>
      <c r="J95" s="2406"/>
      <c r="K95" s="2406"/>
      <c r="L95" s="2406"/>
      <c r="M95" s="2407"/>
      <c r="U95" s="98">
        <f t="shared" si="16"/>
        <v>2</v>
      </c>
      <c r="V95" s="98">
        <f>IF(W95&gt;0,X95+X94+X93,0)</f>
        <v>0</v>
      </c>
      <c r="W95" s="98">
        <f>IF(X95&gt;0,W94+X95,0)</f>
        <v>0</v>
      </c>
      <c r="X95" s="98">
        <f t="shared" si="17"/>
        <v>0</v>
      </c>
      <c r="Y95" s="98">
        <v>3</v>
      </c>
      <c r="AB95" s="463" t="str">
        <f>IF(AM84&lt;$AJ$84,"Amount has not been provided in year 3 for all 'Other Income' listed."," ")</f>
        <v xml:space="preserve"> </v>
      </c>
      <c r="AJ95" s="98">
        <f>COUNTIF('C(2)-Commercial ProForma'!D39:H39,"&lt;&gt;")</f>
        <v>0</v>
      </c>
      <c r="AK95" s="98">
        <f>COUNTIF('C(2)-Commercial ProForma'!K39,"&gt;0")</f>
        <v>0</v>
      </c>
      <c r="AL95" s="98">
        <f>COUNTIF('C(2)-Commercial ProForma'!L39,"&gt;0")</f>
        <v>0</v>
      </c>
      <c r="AM95" s="98">
        <f>COUNTIF('C(2)-Commercial ProForma'!M39,"&gt;0")</f>
        <v>0</v>
      </c>
      <c r="AN95" s="98">
        <f>COUNTIF('C(2)-Commercial ProForma'!N39,"&gt;0")</f>
        <v>0</v>
      </c>
      <c r="AO95" s="98">
        <f>COUNTIF('C(2)-Commercial ProForma'!O39,"&gt;0")</f>
        <v>0</v>
      </c>
      <c r="AP95" s="98">
        <f>COUNTIF('C(2)-Commercial ProForma'!P39,"&gt;0")</f>
        <v>0</v>
      </c>
      <c r="AQ95" s="98">
        <f>COUNTIF('C(2)-Commercial ProForma'!Q39,"&gt;0")</f>
        <v>0</v>
      </c>
      <c r="AR95" s="97">
        <f>COUNTIF(AK95:AQ95,"&gt;0")</f>
        <v>0</v>
      </c>
      <c r="AS95" s="97">
        <f>IF(AND(AJ95=0,AR95&gt;0),1,0)</f>
        <v>0</v>
      </c>
    </row>
    <row r="96" spans="2:56" ht="12" customHeight="1">
      <c r="B96" s="2405" t="str">
        <f t="shared" si="15"/>
        <v xml:space="preserve"> </v>
      </c>
      <c r="C96" s="2406"/>
      <c r="D96" s="2406"/>
      <c r="E96" s="2406"/>
      <c r="F96" s="2406"/>
      <c r="G96" s="2406"/>
      <c r="H96" s="2406"/>
      <c r="I96" s="2406"/>
      <c r="J96" s="2406"/>
      <c r="K96" s="2406"/>
      <c r="L96" s="2406"/>
      <c r="M96" s="2407"/>
      <c r="U96" s="98">
        <f t="shared" si="16"/>
        <v>2</v>
      </c>
      <c r="V96" s="98">
        <f>IF(W96&gt;0,X96+X95+X94+X93,0)</f>
        <v>0</v>
      </c>
      <c r="W96" s="98">
        <f>IF(X96&gt;0,W95+X96,0)</f>
        <v>0</v>
      </c>
      <c r="X96" s="98">
        <f t="shared" si="17"/>
        <v>0</v>
      </c>
      <c r="Y96" s="98">
        <v>4</v>
      </c>
      <c r="AB96" s="463" t="str">
        <f>IF(AN84&lt;$AJ$84,"Amount has not been provided in year 4 for all 'Other Income' listed."," ")</f>
        <v xml:space="preserve"> </v>
      </c>
      <c r="AJ96" s="98">
        <f>COUNTIF('C(2)-Commercial ProForma'!D40:H40,"&lt;&gt;")</f>
        <v>0</v>
      </c>
      <c r="AK96" s="98">
        <f>COUNTIF('C(2)-Commercial ProForma'!K40,"&gt;0")</f>
        <v>0</v>
      </c>
      <c r="AL96" s="98">
        <f>COUNTIF('C(2)-Commercial ProForma'!L40,"&gt;0")</f>
        <v>0</v>
      </c>
      <c r="AM96" s="98">
        <f>COUNTIF('C(2)-Commercial ProForma'!M40,"&gt;0")</f>
        <v>0</v>
      </c>
      <c r="AN96" s="98">
        <f>COUNTIF('C(2)-Commercial ProForma'!N40,"&gt;0")</f>
        <v>0</v>
      </c>
      <c r="AO96" s="98">
        <f>COUNTIF('C(2)-Commercial ProForma'!O40,"&gt;0")</f>
        <v>0</v>
      </c>
      <c r="AP96" s="98">
        <f>COUNTIF('C(2)-Commercial ProForma'!P40,"&gt;0")</f>
        <v>0</v>
      </c>
      <c r="AQ96" s="98">
        <f>COUNTIF('C(2)-Commercial ProForma'!Q40,"&gt;0")</f>
        <v>0</v>
      </c>
      <c r="AR96" s="97">
        <f>COUNTIF(AK96:AQ96,"&gt;0")</f>
        <v>0</v>
      </c>
      <c r="AS96" s="97">
        <f>IF(AND(AJ96=0,AR96&gt;0),1,0)</f>
        <v>0</v>
      </c>
    </row>
    <row r="97" spans="2:46" ht="12" customHeight="1">
      <c r="B97" s="2405" t="str">
        <f t="shared" si="15"/>
        <v xml:space="preserve"> </v>
      </c>
      <c r="C97" s="2406"/>
      <c r="D97" s="2406"/>
      <c r="E97" s="2406"/>
      <c r="F97" s="2406"/>
      <c r="G97" s="2406"/>
      <c r="H97" s="2406"/>
      <c r="I97" s="2406"/>
      <c r="J97" s="2406"/>
      <c r="K97" s="2406"/>
      <c r="L97" s="2406"/>
      <c r="M97" s="2407"/>
      <c r="U97" s="98">
        <f t="shared" si="16"/>
        <v>2</v>
      </c>
      <c r="V97" s="98">
        <f>IF(W97&gt;0,X97+X96+X95+X94+X93,0)</f>
        <v>0</v>
      </c>
      <c r="W97" s="98">
        <f>IF(X97&gt;0,W96+X97,0)</f>
        <v>0</v>
      </c>
      <c r="X97" s="98">
        <f t="shared" si="17"/>
        <v>0</v>
      </c>
      <c r="Y97" s="98">
        <v>5</v>
      </c>
      <c r="AB97" s="463" t="str">
        <f>IF(AO84&lt;$AJ$84,"Amount has not been provided in year 5 for all 'Other Income' listed."," ")</f>
        <v xml:space="preserve"> </v>
      </c>
      <c r="AJ97" s="98">
        <f>COUNTIF('C(2)-Commercial ProForma'!D41:H41,"&lt;&gt;")</f>
        <v>0</v>
      </c>
      <c r="AK97" s="98">
        <f>COUNTIF('C(2)-Commercial ProForma'!K41,"&gt;0")</f>
        <v>0</v>
      </c>
      <c r="AL97" s="98">
        <f>COUNTIF('C(2)-Commercial ProForma'!L41,"&gt;0")</f>
        <v>0</v>
      </c>
      <c r="AM97" s="98">
        <f>COUNTIF('C(2)-Commercial ProForma'!M41,"&gt;0")</f>
        <v>0</v>
      </c>
      <c r="AN97" s="98">
        <f>COUNTIF('C(2)-Commercial ProForma'!N41,"&gt;0")</f>
        <v>0</v>
      </c>
      <c r="AO97" s="98">
        <f>COUNTIF('C(2)-Commercial ProForma'!O41,"&gt;0")</f>
        <v>0</v>
      </c>
      <c r="AP97" s="98">
        <f>COUNTIF('C(2)-Commercial ProForma'!P41,"&gt;0")</f>
        <v>0</v>
      </c>
      <c r="AQ97" s="98">
        <f>COUNTIF('C(2)-Commercial ProForma'!Q41,"&gt;0")</f>
        <v>0</v>
      </c>
      <c r="AR97" s="97">
        <f>COUNTIF(AK97:AQ97,"&gt;0")</f>
        <v>0</v>
      </c>
      <c r="AS97" s="97">
        <f>IF(AND(AJ97=0,AR97&gt;0),1,0)</f>
        <v>0</v>
      </c>
    </row>
    <row r="98" spans="2:46" ht="12" customHeight="1">
      <c r="B98" s="2405" t="str">
        <f t="shared" si="15"/>
        <v xml:space="preserve"> </v>
      </c>
      <c r="C98" s="2406"/>
      <c r="D98" s="2406"/>
      <c r="E98" s="2406"/>
      <c r="F98" s="2406"/>
      <c r="G98" s="2406"/>
      <c r="H98" s="2406"/>
      <c r="I98" s="2406"/>
      <c r="J98" s="2406"/>
      <c r="K98" s="2406"/>
      <c r="L98" s="2406"/>
      <c r="M98" s="2407"/>
      <c r="U98" s="98">
        <f t="shared" si="16"/>
        <v>2</v>
      </c>
      <c r="V98" s="98">
        <f>IF(W98&gt;0,X98+X97+X96+X95+X94+X93,0)</f>
        <v>0</v>
      </c>
      <c r="W98" s="98">
        <f t="shared" ref="W98:W105" si="18">IF(X98&gt;0,W97+X98,0)</f>
        <v>0</v>
      </c>
      <c r="X98" s="98">
        <f t="shared" si="17"/>
        <v>0</v>
      </c>
      <c r="Y98" s="98">
        <v>6</v>
      </c>
      <c r="AB98" s="463" t="str">
        <f>IF(AP84&lt;$AJ$84,"Amount has not been provided in year 10 for all 'Other Income' listed."," ")</f>
        <v xml:space="preserve"> </v>
      </c>
      <c r="AS98" s="97">
        <f>SUM(AS95:AS97)</f>
        <v>0</v>
      </c>
    </row>
    <row r="99" spans="2:46" ht="12" customHeight="1" thickBot="1">
      <c r="B99" s="2402" t="str">
        <f t="shared" si="15"/>
        <v xml:space="preserve"> </v>
      </c>
      <c r="C99" s="2403"/>
      <c r="D99" s="2403"/>
      <c r="E99" s="2403"/>
      <c r="F99" s="2403"/>
      <c r="G99" s="2403"/>
      <c r="H99" s="2403"/>
      <c r="I99" s="2403"/>
      <c r="J99" s="2403"/>
      <c r="K99" s="2403"/>
      <c r="L99" s="2403"/>
      <c r="M99" s="2404"/>
      <c r="U99" s="98">
        <f t="shared" si="16"/>
        <v>2</v>
      </c>
      <c r="V99" s="98">
        <f>IF(W99&gt;0,X93+X99+X98+X97+X96+X95+X94,0)</f>
        <v>0</v>
      </c>
      <c r="W99" s="98">
        <f t="shared" si="18"/>
        <v>0</v>
      </c>
      <c r="X99" s="98">
        <f t="shared" si="17"/>
        <v>0</v>
      </c>
      <c r="Y99" s="98">
        <v>7</v>
      </c>
      <c r="AB99" s="463" t="str">
        <f>IF(AQ84&lt;$AJ$84,"Amount has not been provided in year 15 for all 'Other Income' listed."," ")</f>
        <v xml:space="preserve"> </v>
      </c>
    </row>
    <row r="100" spans="2:46" ht="12.75" customHeight="1" thickTop="1">
      <c r="U100" s="98">
        <f t="shared" si="16"/>
        <v>1</v>
      </c>
      <c r="V100" s="98">
        <f>IF(W100&gt;0,X94+X93+X100+X99+X98+X97+X96+X95,0)</f>
        <v>1</v>
      </c>
      <c r="W100" s="98">
        <f t="shared" si="18"/>
        <v>1</v>
      </c>
      <c r="X100" s="98">
        <f t="shared" si="17"/>
        <v>1</v>
      </c>
      <c r="Y100" s="98">
        <v>8</v>
      </c>
      <c r="AB100" s="463" t="str">
        <f>IF('C(2)-Commercial ProForma'!H22="","A vacancy rate has not been indicated."," ")</f>
        <v>A vacancy rate has not been indicated.</v>
      </c>
      <c r="AJ100" s="689" t="s">
        <v>730</v>
      </c>
      <c r="AK100" s="689" t="s">
        <v>153</v>
      </c>
      <c r="AL100" s="689" t="s">
        <v>728</v>
      </c>
      <c r="AM100" s="689" t="s">
        <v>679</v>
      </c>
      <c r="AN100" s="689" t="s">
        <v>938</v>
      </c>
      <c r="AO100" s="689" t="s">
        <v>884</v>
      </c>
      <c r="AP100" s="689" t="s">
        <v>939</v>
      </c>
      <c r="AQ100" s="689" t="s">
        <v>940</v>
      </c>
      <c r="AR100" s="97" t="s">
        <v>942</v>
      </c>
    </row>
    <row r="101" spans="2:46" ht="19.5" thickBot="1">
      <c r="B101" s="2425" t="s">
        <v>44</v>
      </c>
      <c r="C101" s="2425"/>
      <c r="D101" s="2425"/>
      <c r="E101" s="2425"/>
      <c r="F101" s="2425"/>
      <c r="G101" s="2425"/>
      <c r="H101" s="2425"/>
      <c r="I101" s="2425"/>
      <c r="J101" s="2425"/>
      <c r="K101" s="2425"/>
      <c r="L101" s="2425"/>
      <c r="M101" s="2425"/>
      <c r="U101" s="98">
        <f t="shared" si="16"/>
        <v>2</v>
      </c>
      <c r="V101" s="98">
        <f>IF(W101&gt;0,X95+X94+X101+X100+X99+X98+X97+X96+X93,0)</f>
        <v>0</v>
      </c>
      <c r="W101" s="98">
        <f t="shared" si="18"/>
        <v>0</v>
      </c>
      <c r="X101" s="98">
        <f t="shared" si="17"/>
        <v>0</v>
      </c>
      <c r="Y101" s="98">
        <v>9</v>
      </c>
      <c r="AB101" s="463" t="str">
        <f>IF(AS90&gt;0,"An 'Other Income' amount was indicated but no description was provided."," ")</f>
        <v xml:space="preserve"> </v>
      </c>
      <c r="AJ101" s="98">
        <f>COUNTIF('D-Owner-Occ Housing Expense'!B27:B53,"&lt;&gt;")</f>
        <v>0</v>
      </c>
      <c r="AK101" s="98">
        <f>COUNTIF('D-Owner-Occ Housing Expense'!C27:C53,"&lt;&gt;")</f>
        <v>0</v>
      </c>
      <c r="AL101" s="98">
        <f>COUNTIF('D-Owner-Occ Housing Expense'!D27:D53,"&lt;&gt;")</f>
        <v>0</v>
      </c>
      <c r="AM101" s="98">
        <f>COUNTIF('D-Owner-Occ Housing Expense'!E27:E53,"&lt;&gt;")</f>
        <v>0</v>
      </c>
      <c r="AN101" s="98">
        <f>COUNTIF('D-Owner-Occ Housing Expense'!H27:H53,"&lt;&gt;")</f>
        <v>0</v>
      </c>
      <c r="AO101" s="98">
        <f>COUNTIF('D-Owner-Occ Housing Expense'!I27:I53,"&lt;&gt;")</f>
        <v>0</v>
      </c>
      <c r="AP101" s="98">
        <f>COUNTIF('D-Owner-Occ Housing Expense'!J27:J53,"&lt;&gt;")</f>
        <v>0</v>
      </c>
      <c r="AQ101" s="98">
        <f>COUNTIF('D-Owner-Occ Housing Expense'!K27:K53,"&lt;&gt;")</f>
        <v>0</v>
      </c>
      <c r="AR101" s="98">
        <f>COUNTIF('D-Owner-Occ Housing Expense'!M27:M53,"&lt;&gt;")</f>
        <v>0</v>
      </c>
      <c r="AT101" s="468">
        <f>MAX(AJ101:AR101)</f>
        <v>0</v>
      </c>
    </row>
    <row r="102" spans="2:46" ht="12" customHeight="1" thickTop="1">
      <c r="B102" s="2408" t="str">
        <f>IF($T$127&gt;=Y127,(VLOOKUP(Y127,$V$127:$AB$153,7,FALSE))," ")</f>
        <v>A state has not been selected for the RSMeans cost reasonableness benchmark.</v>
      </c>
      <c r="C102" s="2409"/>
      <c r="D102" s="2409"/>
      <c r="E102" s="2409"/>
      <c r="F102" s="2409"/>
      <c r="G102" s="2409"/>
      <c r="H102" s="2409"/>
      <c r="I102" s="2409"/>
      <c r="J102" s="2409"/>
      <c r="K102" s="2409"/>
      <c r="L102" s="2409"/>
      <c r="M102" s="2410"/>
      <c r="U102" s="98">
        <f t="shared" si="16"/>
        <v>2</v>
      </c>
      <c r="V102" s="98">
        <f>IF(W102&gt;0,X96+X95+X102+X101+X100+X99+X98+X97+X94+X93,0)</f>
        <v>0</v>
      </c>
      <c r="W102" s="98">
        <f t="shared" si="18"/>
        <v>0</v>
      </c>
      <c r="X102" s="98">
        <f t="shared" si="17"/>
        <v>0</v>
      </c>
      <c r="Y102" s="98">
        <v>10</v>
      </c>
      <c r="AB102" s="463" t="str">
        <f>IF(AK92&lt;$AJ$92,"Amount has not been provided in year 1 for all 'Other Expenses' listed."," ")</f>
        <v xml:space="preserve"> </v>
      </c>
    </row>
    <row r="103" spans="2:46" ht="12" customHeight="1">
      <c r="B103" s="2405" t="str">
        <f>IF($T$127&gt;=Y128,(VLOOKUP(Y128,$V$127:$AB$153,7,FALSE))," ")</f>
        <v>The housing type has not been selected for the RSMeans cost reasonableness benchmark.</v>
      </c>
      <c r="C103" s="2406"/>
      <c r="D103" s="2406"/>
      <c r="E103" s="2406"/>
      <c r="F103" s="2406"/>
      <c r="G103" s="2406"/>
      <c r="H103" s="2406"/>
      <c r="I103" s="2406"/>
      <c r="J103" s="2406"/>
      <c r="K103" s="2406"/>
      <c r="L103" s="2406"/>
      <c r="M103" s="2407"/>
      <c r="U103" s="98">
        <f t="shared" si="16"/>
        <v>2</v>
      </c>
      <c r="V103" s="98">
        <f>IF(W103&gt;0,X97+X96+X103+X102+X101+X100+X99+X98+X95+X94+X93,0)</f>
        <v>0</v>
      </c>
      <c r="W103" s="98">
        <f t="shared" si="18"/>
        <v>0</v>
      </c>
      <c r="X103" s="98">
        <f t="shared" si="17"/>
        <v>0</v>
      </c>
      <c r="Y103" s="98">
        <v>11</v>
      </c>
      <c r="AB103" s="463" t="str">
        <f>IF(AL92&lt;$AJ$92,"Amount has not been provided in year 2 for all 'Other Expenses' listed."," ")</f>
        <v xml:space="preserve"> </v>
      </c>
    </row>
    <row r="104" spans="2:46" ht="12" customHeight="1">
      <c r="B104" s="2405" t="str">
        <f t="shared" ref="B104:B127" si="19">IF($T$127&gt;=Y129,(VLOOKUP(Y129,$V$127:$AB$153,7,FALSE))," ")</f>
        <v>Construction, rehabiliation, or tax credit has not been selected for the hard cost contigency cost reasonableness benchmark.</v>
      </c>
      <c r="C104" s="2406"/>
      <c r="D104" s="2406"/>
      <c r="E104" s="2406"/>
      <c r="F104" s="2406"/>
      <c r="G104" s="2406"/>
      <c r="H104" s="2406"/>
      <c r="I104" s="2406"/>
      <c r="J104" s="2406"/>
      <c r="K104" s="2406"/>
      <c r="L104" s="2406"/>
      <c r="M104" s="2407"/>
      <c r="N104" s="457"/>
      <c r="O104" s="457"/>
      <c r="P104" s="457"/>
      <c r="U104" s="98">
        <f t="shared" si="16"/>
        <v>2</v>
      </c>
      <c r="V104" s="98">
        <f>IF(W104&gt;0,X98+X97+X104+X103+X102+X101+X100+X99+X96+X95+X94+X93,0)</f>
        <v>0</v>
      </c>
      <c r="W104" s="98">
        <f t="shared" si="18"/>
        <v>0</v>
      </c>
      <c r="X104" s="98">
        <f t="shared" si="17"/>
        <v>0</v>
      </c>
      <c r="Y104" s="98">
        <v>12</v>
      </c>
      <c r="AB104" s="463" t="str">
        <f>IF(AM92&lt;$AJ$92,"Amount has not been provided in year 3 for all 'Other Expenses' listed."," ")</f>
        <v xml:space="preserve"> </v>
      </c>
    </row>
    <row r="105" spans="2:46" ht="12" customHeight="1">
      <c r="B105" s="2405" t="str">
        <f t="shared" si="19"/>
        <v xml:space="preserve"> </v>
      </c>
      <c r="C105" s="2406"/>
      <c r="D105" s="2406"/>
      <c r="E105" s="2406"/>
      <c r="F105" s="2406"/>
      <c r="G105" s="2406"/>
      <c r="H105" s="2406"/>
      <c r="I105" s="2406"/>
      <c r="J105" s="2406"/>
      <c r="K105" s="2406"/>
      <c r="L105" s="2406"/>
      <c r="M105" s="2407"/>
      <c r="U105" s="98">
        <f t="shared" si="16"/>
        <v>2</v>
      </c>
      <c r="V105" s="98">
        <f>IF(W105&gt;0,X99+X98+X105+X104+X103+X102+X101+X100+X97+X96+X95+X94+X93,0)</f>
        <v>0</v>
      </c>
      <c r="W105" s="98">
        <f t="shared" si="18"/>
        <v>0</v>
      </c>
      <c r="X105" s="98">
        <f t="shared" si="17"/>
        <v>0</v>
      </c>
      <c r="Y105" s="98">
        <v>13</v>
      </c>
      <c r="AB105" s="463" t="str">
        <f>IF(AN92&lt;$AJ$92,"Amount has not been provided in year 4 for all 'Other Expenses' listed."," ")</f>
        <v xml:space="preserve"> </v>
      </c>
    </row>
    <row r="106" spans="2:46" ht="12" customHeight="1">
      <c r="B106" s="2405" t="str">
        <f t="shared" si="19"/>
        <v xml:space="preserve"> </v>
      </c>
      <c r="C106" s="2406"/>
      <c r="D106" s="2406"/>
      <c r="E106" s="2406"/>
      <c r="F106" s="2406"/>
      <c r="G106" s="2406"/>
      <c r="H106" s="2406"/>
      <c r="I106" s="2406"/>
      <c r="J106" s="2406"/>
      <c r="K106" s="2406"/>
      <c r="L106" s="2406"/>
      <c r="M106" s="2407"/>
      <c r="U106" s="98">
        <f t="shared" si="16"/>
        <v>2</v>
      </c>
      <c r="V106" s="98">
        <f>IF(W106&gt;0,X100+X99+X106+X105+X104+X103+X102+X101+X98+X97+X96+X95+X94+X93,0)</f>
        <v>0</v>
      </c>
      <c r="W106" s="98">
        <f>IF(X106&gt;0,W105+X106,0)</f>
        <v>0</v>
      </c>
      <c r="X106" s="98">
        <f>IF(AB106=" ",0,1)</f>
        <v>0</v>
      </c>
      <c r="Y106" s="98">
        <v>14</v>
      </c>
      <c r="AB106" s="463" t="str">
        <f>IF(AO92&lt;$AJ$92,"Amount has not been provided in year 5 for all 'Other Expenses' listed."," ")</f>
        <v xml:space="preserve"> </v>
      </c>
    </row>
    <row r="107" spans="2:46" ht="12" customHeight="1">
      <c r="B107" s="2405" t="str">
        <f t="shared" si="19"/>
        <v xml:space="preserve"> </v>
      </c>
      <c r="C107" s="2406"/>
      <c r="D107" s="2406"/>
      <c r="E107" s="2406"/>
      <c r="F107" s="2406"/>
      <c r="G107" s="2406"/>
      <c r="H107" s="2406"/>
      <c r="I107" s="2406"/>
      <c r="J107" s="2406"/>
      <c r="K107" s="2406"/>
      <c r="L107" s="2406"/>
      <c r="M107" s="2407"/>
      <c r="U107" s="98">
        <f t="shared" si="16"/>
        <v>2</v>
      </c>
      <c r="V107" s="98">
        <f>IF(W107&gt;0,X101+X100+X107+X106+X105+X104+X103+X102+X99+X98+X97+X96+X95+X94+X93,0)</f>
        <v>0</v>
      </c>
      <c r="W107" s="98">
        <f>IF(X107&gt;0,W106+X107,0)</f>
        <v>0</v>
      </c>
      <c r="X107" s="98">
        <f>IF(AB107=" ",0,1)</f>
        <v>0</v>
      </c>
      <c r="Y107" s="98">
        <v>15</v>
      </c>
      <c r="AB107" s="463" t="str">
        <f>IF(AP92&lt;$AJ$92,"Amount has not been provided in year 10 for all 'Other Expenses' listed."," ")</f>
        <v xml:space="preserve"> </v>
      </c>
    </row>
    <row r="108" spans="2:46" ht="12" customHeight="1">
      <c r="B108" s="2405" t="str">
        <f>IF($T$127&gt;=Y133,(VLOOKUP(Y133,$V$127:$AB$153,7,FALSE))," ")</f>
        <v xml:space="preserve"> </v>
      </c>
      <c r="C108" s="2406"/>
      <c r="D108" s="2406"/>
      <c r="E108" s="2406"/>
      <c r="F108" s="2406"/>
      <c r="G108" s="2406"/>
      <c r="H108" s="2406"/>
      <c r="I108" s="2406"/>
      <c r="J108" s="2406"/>
      <c r="K108" s="2406"/>
      <c r="L108" s="2406"/>
      <c r="M108" s="2407"/>
      <c r="U108" s="98">
        <f t="shared" si="16"/>
        <v>2</v>
      </c>
      <c r="V108" s="98">
        <f>IF(W108&gt;0,X102+X101+X108+X107+X106+X105+X104+X103+X100+X99+X98+X97+X96+X95+X94+X93,0)</f>
        <v>0</v>
      </c>
      <c r="W108" s="98">
        <f>IF(X108&gt;0,W107+X108,0)</f>
        <v>0</v>
      </c>
      <c r="X108" s="98">
        <f>IF(AB108=" ",0,1)</f>
        <v>0</v>
      </c>
      <c r="Y108" s="98">
        <v>16</v>
      </c>
      <c r="AB108" s="463" t="str">
        <f>IF(AQ92&lt;$AJ$92,"Amount has not been provided in year 15 for all 'Other Expenses' listed."," ")</f>
        <v xml:space="preserve"> </v>
      </c>
    </row>
    <row r="109" spans="2:46" ht="12" customHeight="1">
      <c r="B109" s="2405" t="str">
        <f t="shared" si="19"/>
        <v xml:space="preserve"> </v>
      </c>
      <c r="C109" s="2406"/>
      <c r="D109" s="2406"/>
      <c r="E109" s="2406"/>
      <c r="F109" s="2406"/>
      <c r="G109" s="2406"/>
      <c r="H109" s="2406"/>
      <c r="I109" s="2406"/>
      <c r="J109" s="2406"/>
      <c r="K109" s="2406"/>
      <c r="L109" s="2406"/>
      <c r="M109" s="2407"/>
      <c r="U109" s="98">
        <f t="shared" si="16"/>
        <v>2</v>
      </c>
      <c r="V109" s="98">
        <f>IF(W109&gt;0,X103+X102+X109+X108+X107+X106+X105+X104+X101+X100+X99+X98+X97+X96+X95+X94+X93,0)</f>
        <v>0</v>
      </c>
      <c r="W109" s="98">
        <f>IF(X109&gt;0,W108+X109,0)</f>
        <v>0</v>
      </c>
      <c r="X109" s="98">
        <f>IF(AB109=" ",0,1)</f>
        <v>0</v>
      </c>
      <c r="Y109" s="98">
        <v>17</v>
      </c>
      <c r="AB109" s="463" t="str">
        <f>IF(AS98&gt;0,"An 'Other Expense' amount was indicated but no description was provided."," ")</f>
        <v xml:space="preserve"> </v>
      </c>
    </row>
    <row r="110" spans="2:46" ht="12" customHeight="1">
      <c r="B110" s="2405" t="str">
        <f t="shared" si="19"/>
        <v xml:space="preserve"> </v>
      </c>
      <c r="C110" s="2406"/>
      <c r="D110" s="2406"/>
      <c r="E110" s="2406"/>
      <c r="F110" s="2406"/>
      <c r="G110" s="2406"/>
      <c r="H110" s="2406"/>
      <c r="I110" s="2406"/>
      <c r="J110" s="2406"/>
      <c r="K110" s="2406"/>
      <c r="L110" s="2406"/>
      <c r="M110" s="2407"/>
    </row>
    <row r="111" spans="2:46" ht="12" customHeight="1">
      <c r="B111" s="2405" t="str">
        <f t="shared" si="19"/>
        <v xml:space="preserve"> </v>
      </c>
      <c r="C111" s="2406"/>
      <c r="D111" s="2406"/>
      <c r="E111" s="2406"/>
      <c r="F111" s="2406"/>
      <c r="G111" s="2406"/>
      <c r="H111" s="2406"/>
      <c r="I111" s="2406"/>
      <c r="J111" s="2406"/>
      <c r="K111" s="2406"/>
      <c r="L111" s="2406"/>
      <c r="M111" s="2407"/>
    </row>
    <row r="112" spans="2:46" ht="12" customHeight="1">
      <c r="B112" s="2405" t="str">
        <f t="shared" si="19"/>
        <v xml:space="preserve"> </v>
      </c>
      <c r="C112" s="2406"/>
      <c r="D112" s="2406"/>
      <c r="E112" s="2406"/>
      <c r="F112" s="2406"/>
      <c r="G112" s="2406"/>
      <c r="H112" s="2406"/>
      <c r="I112" s="2406"/>
      <c r="J112" s="2406"/>
      <c r="K112" s="2406"/>
      <c r="L112" s="2406"/>
      <c r="M112" s="2407"/>
      <c r="S112" s="98">
        <f>SUM(X112:X122)</f>
        <v>0</v>
      </c>
      <c r="T112" s="98">
        <f>MAX(V112:V122)</f>
        <v>0</v>
      </c>
      <c r="U112" s="98">
        <f>RANK(V112,$V$112:$V$122)</f>
        <v>1</v>
      </c>
      <c r="V112" s="98">
        <f>IF(W112&gt;0,W112,0)</f>
        <v>0</v>
      </c>
      <c r="W112" s="98">
        <f>X112</f>
        <v>0</v>
      </c>
      <c r="X112" s="98">
        <f>IF(AB112=" ",0,1)</f>
        <v>0</v>
      </c>
      <c r="Y112" s="98">
        <v>1</v>
      </c>
      <c r="AB112" s="463" t="str">
        <f>IF(AND('Project Info and Instructions'!F20="Owner-occupied",AL101&lt;AT101),"Number of houses has not been indicated for all listed homes."," ")</f>
        <v xml:space="preserve"> </v>
      </c>
      <c r="AC112" s="97" t="str">
        <f>IF($T$112&gt;=Y112,(VLOOKUP(Y112,$V$112:$AB$122,7,FALSE)),"")</f>
        <v/>
      </c>
    </row>
    <row r="113" spans="2:56" ht="12" customHeight="1">
      <c r="B113" s="2405" t="str">
        <f t="shared" si="19"/>
        <v xml:space="preserve"> </v>
      </c>
      <c r="C113" s="2406"/>
      <c r="D113" s="2406"/>
      <c r="E113" s="2406"/>
      <c r="F113" s="2406"/>
      <c r="G113" s="2406"/>
      <c r="H113" s="2406"/>
      <c r="I113" s="2406"/>
      <c r="J113" s="2406"/>
      <c r="K113" s="2406"/>
      <c r="L113" s="2406"/>
      <c r="M113" s="2407"/>
      <c r="U113" s="98">
        <f t="shared" ref="U113:U122" si="20">RANK(V113,$V$112:$V$122)</f>
        <v>1</v>
      </c>
      <c r="V113" s="98">
        <f>IF(W113&gt;0,X113+X112,0)</f>
        <v>0</v>
      </c>
      <c r="W113" s="98">
        <f t="shared" ref="W113:W122" si="21">IF(X113&gt;0,W112+X113,0)</f>
        <v>0</v>
      </c>
      <c r="X113" s="98">
        <f t="shared" ref="X113:X122" si="22">IF(AB113=" ",0,1)</f>
        <v>0</v>
      </c>
      <c r="Y113" s="98">
        <v>2</v>
      </c>
      <c r="AB113" s="463" t="str">
        <f>IF(AND('Project Info and Instructions'!F20="Owner-occupied",AK101&lt;$AT$101),"Number of bedrooms has not been indicated for all listed homes."," ")</f>
        <v xml:space="preserve"> </v>
      </c>
      <c r="AC113" s="97" t="str">
        <f t="shared" ref="AC113:AC122" si="23">IF($T$112&gt;=Y113,(VLOOKUP(Y113,$V$112:$AB$122,7,FALSE)),"")</f>
        <v/>
      </c>
      <c r="AJ113" s="97">
        <f>'D-Owner-Occ Housing Expense'!Y14</f>
        <v>1</v>
      </c>
    </row>
    <row r="114" spans="2:56" ht="12" customHeight="1">
      <c r="B114" s="2405" t="str">
        <f t="shared" si="19"/>
        <v xml:space="preserve"> </v>
      </c>
      <c r="C114" s="2406"/>
      <c r="D114" s="2406"/>
      <c r="E114" s="2406"/>
      <c r="F114" s="2406"/>
      <c r="G114" s="2406"/>
      <c r="H114" s="2406"/>
      <c r="I114" s="2406"/>
      <c r="J114" s="2406"/>
      <c r="K114" s="2406"/>
      <c r="L114" s="2406"/>
      <c r="M114" s="2407"/>
      <c r="U114" s="98">
        <f t="shared" si="20"/>
        <v>1</v>
      </c>
      <c r="V114" s="98">
        <f>IF(W114&gt;0,X114+X113+X112,0)</f>
        <v>0</v>
      </c>
      <c r="W114" s="98">
        <f t="shared" si="21"/>
        <v>0</v>
      </c>
      <c r="X114" s="98">
        <f t="shared" si="22"/>
        <v>0</v>
      </c>
      <c r="Y114" s="98">
        <v>3</v>
      </c>
      <c r="AB114" s="463" t="str">
        <f>IF(AND('Project Info and Instructions'!F20="Owner-occupied",AM101&lt;$AT$101),"Assumed Household size has not been indicated for all listed homes."," ")</f>
        <v xml:space="preserve"> </v>
      </c>
      <c r="AC114" s="97" t="str">
        <f t="shared" si="23"/>
        <v/>
      </c>
    </row>
    <row r="115" spans="2:56" ht="12" customHeight="1">
      <c r="B115" s="2405" t="str">
        <f t="shared" si="19"/>
        <v xml:space="preserve"> </v>
      </c>
      <c r="C115" s="2406"/>
      <c r="D115" s="2406"/>
      <c r="E115" s="2406"/>
      <c r="F115" s="2406"/>
      <c r="G115" s="2406"/>
      <c r="H115" s="2406"/>
      <c r="I115" s="2406"/>
      <c r="J115" s="2406"/>
      <c r="K115" s="2406"/>
      <c r="L115" s="2406"/>
      <c r="M115" s="2407"/>
      <c r="U115" s="98">
        <f t="shared" si="20"/>
        <v>1</v>
      </c>
      <c r="V115" s="98">
        <f>IF(W115&gt;0,X115+X114+X113+X112,0)</f>
        <v>0</v>
      </c>
      <c r="W115" s="98">
        <f t="shared" si="21"/>
        <v>0</v>
      </c>
      <c r="X115" s="98">
        <f t="shared" si="22"/>
        <v>0</v>
      </c>
      <c r="Y115" s="98">
        <v>4</v>
      </c>
      <c r="AB115" s="463" t="str">
        <f>IF(AND('Project Info and Instructions'!F20="Owner-occupied",AJ101&lt;$AT$101),"Target A.M.I has not been indicated for all listed homes."," ")</f>
        <v xml:space="preserve"> </v>
      </c>
      <c r="AC115" s="97" t="str">
        <f t="shared" si="23"/>
        <v/>
      </c>
      <c r="BD115" s="97">
        <f>COUNTIF(B131:B148,"&lt;&gt;"&amp;" ")</f>
        <v>18</v>
      </c>
    </row>
    <row r="116" spans="2:56" ht="12" customHeight="1">
      <c r="B116" s="2405" t="str">
        <f t="shared" si="19"/>
        <v xml:space="preserve"> </v>
      </c>
      <c r="C116" s="2406"/>
      <c r="D116" s="2406"/>
      <c r="E116" s="2406"/>
      <c r="F116" s="2406"/>
      <c r="G116" s="2406"/>
      <c r="H116" s="2406"/>
      <c r="I116" s="2406"/>
      <c r="J116" s="2406"/>
      <c r="K116" s="2406"/>
      <c r="L116" s="2406"/>
      <c r="M116" s="2407"/>
      <c r="U116" s="98">
        <f t="shared" si="20"/>
        <v>1</v>
      </c>
      <c r="V116" s="98">
        <f>IF(W116&gt;0,X116+X115+X114+X113+X112,0)</f>
        <v>0</v>
      </c>
      <c r="W116" s="98">
        <f t="shared" si="21"/>
        <v>0</v>
      </c>
      <c r="X116" s="98">
        <f t="shared" si="22"/>
        <v>0</v>
      </c>
      <c r="Y116" s="98">
        <v>5</v>
      </c>
      <c r="AB116" s="463" t="str">
        <f>IF(AND('Project Info and Instructions'!F20="Owner-occupied",AJ113=1),"A state has not been selected."," ")</f>
        <v xml:space="preserve"> </v>
      </c>
      <c r="AC116" s="97" t="str">
        <f t="shared" si="23"/>
        <v/>
      </c>
    </row>
    <row r="117" spans="2:56" ht="12" customHeight="1">
      <c r="B117" s="2405" t="str">
        <f t="shared" si="19"/>
        <v xml:space="preserve"> </v>
      </c>
      <c r="C117" s="2406"/>
      <c r="D117" s="2406"/>
      <c r="E117" s="2406"/>
      <c r="F117" s="2406"/>
      <c r="G117" s="2406"/>
      <c r="H117" s="2406"/>
      <c r="I117" s="2406"/>
      <c r="J117" s="2406"/>
      <c r="K117" s="2406"/>
      <c r="L117" s="2406"/>
      <c r="M117" s="2407"/>
      <c r="U117" s="98">
        <f t="shared" si="20"/>
        <v>1</v>
      </c>
      <c r="V117" s="98">
        <f>IF(W117&gt;0,X117+X116+X115+X114+X113+X112,0)</f>
        <v>0</v>
      </c>
      <c r="W117" s="98">
        <f t="shared" si="21"/>
        <v>0</v>
      </c>
      <c r="X117" s="98">
        <f t="shared" si="22"/>
        <v>0</v>
      </c>
      <c r="Y117" s="98">
        <v>6</v>
      </c>
      <c r="AB117" s="463" t="str">
        <f>IF(AND('Project Info and Instructions'!F20="Owner-occupied",'D-Owner-Occ Housing Expense'!Z12=0),"A county has not been selected."," ")</f>
        <v xml:space="preserve"> </v>
      </c>
      <c r="AC117" s="97" t="str">
        <f t="shared" si="23"/>
        <v/>
      </c>
    </row>
    <row r="118" spans="2:56" ht="12" customHeight="1">
      <c r="B118" s="2405" t="str">
        <f t="shared" si="19"/>
        <v xml:space="preserve"> </v>
      </c>
      <c r="C118" s="2406"/>
      <c r="D118" s="2406"/>
      <c r="E118" s="2406"/>
      <c r="F118" s="2406"/>
      <c r="G118" s="2406"/>
      <c r="H118" s="2406"/>
      <c r="I118" s="2406"/>
      <c r="J118" s="2406"/>
      <c r="K118" s="2406"/>
      <c r="L118" s="2406"/>
      <c r="M118" s="2407"/>
      <c r="U118" s="98">
        <f t="shared" si="20"/>
        <v>1</v>
      </c>
      <c r="V118" s="98">
        <f>IF(W118&gt;0,X118+X117+X116+X115+X114+X113+X112,0)</f>
        <v>0</v>
      </c>
      <c r="W118" s="98">
        <f t="shared" si="21"/>
        <v>0</v>
      </c>
      <c r="X118" s="98">
        <f t="shared" si="22"/>
        <v>0</v>
      </c>
      <c r="Y118" s="98">
        <v>7</v>
      </c>
      <c r="AB118" s="463" t="str">
        <f>IF(AND('Project Info and Instructions'!F20="Owner-occupied",AN101&lt;$AT$101),"Sales price has not been indicated for all listed homes."," ")</f>
        <v xml:space="preserve"> </v>
      </c>
      <c r="AC118" s="97" t="str">
        <f t="shared" si="23"/>
        <v/>
      </c>
    </row>
    <row r="119" spans="2:56" ht="12" customHeight="1">
      <c r="B119" s="2405" t="str">
        <f t="shared" si="19"/>
        <v xml:space="preserve"> </v>
      </c>
      <c r="C119" s="2406"/>
      <c r="D119" s="2406"/>
      <c r="E119" s="2406"/>
      <c r="F119" s="2406"/>
      <c r="G119" s="2406"/>
      <c r="H119" s="2406"/>
      <c r="I119" s="2406"/>
      <c r="J119" s="2406"/>
      <c r="K119" s="2406"/>
      <c r="L119" s="2406"/>
      <c r="M119" s="2407"/>
      <c r="U119" s="98">
        <f t="shared" si="20"/>
        <v>1</v>
      </c>
      <c r="V119" s="98">
        <f>IF(W119&gt;0,X119+X118+X117+X116+X115+X114+X113+X112,0)</f>
        <v>0</v>
      </c>
      <c r="W119" s="98">
        <f t="shared" si="21"/>
        <v>0</v>
      </c>
      <c r="X119" s="98">
        <f t="shared" si="22"/>
        <v>0</v>
      </c>
      <c r="Y119" s="98">
        <v>8</v>
      </c>
      <c r="AB119" s="463" t="str">
        <f>IF(AND('Project Info and Instructions'!F20="Owner-occupied",AO101&lt;$AT$101),"Estimated mortgage amount has not been indicated for all listed homes."," ")</f>
        <v xml:space="preserve"> </v>
      </c>
      <c r="AC119" s="97" t="str">
        <f t="shared" si="23"/>
        <v/>
      </c>
    </row>
    <row r="120" spans="2:56" ht="12" customHeight="1">
      <c r="B120" s="2405" t="str">
        <f t="shared" si="19"/>
        <v xml:space="preserve"> </v>
      </c>
      <c r="C120" s="2406"/>
      <c r="D120" s="2406"/>
      <c r="E120" s="2406"/>
      <c r="F120" s="2406"/>
      <c r="G120" s="2406"/>
      <c r="H120" s="2406"/>
      <c r="I120" s="2406"/>
      <c r="J120" s="2406"/>
      <c r="K120" s="2406"/>
      <c r="L120" s="2406"/>
      <c r="M120" s="2407"/>
      <c r="U120" s="98">
        <f t="shared" si="20"/>
        <v>1</v>
      </c>
      <c r="V120" s="98">
        <f>IF(W120&gt;0,X120+X119+X118+X117+X116+X115+X114+X113+X112,0)</f>
        <v>0</v>
      </c>
      <c r="W120" s="98">
        <f t="shared" si="21"/>
        <v>0</v>
      </c>
      <c r="X120" s="98">
        <f t="shared" si="22"/>
        <v>0</v>
      </c>
      <c r="Y120" s="98">
        <v>9</v>
      </c>
      <c r="AB120" s="463" t="str">
        <f>IF(AND('Project Info and Instructions'!F20="Owner-occupied",AP101&lt;$AT$101),"Mortgage rate has not been indicated for all listed homes."," ")</f>
        <v xml:space="preserve"> </v>
      </c>
      <c r="AC120" s="97" t="str">
        <f t="shared" si="23"/>
        <v/>
      </c>
    </row>
    <row r="121" spans="2:56" ht="12" customHeight="1">
      <c r="B121" s="2405" t="str">
        <f t="shared" si="19"/>
        <v xml:space="preserve"> </v>
      </c>
      <c r="C121" s="2406"/>
      <c r="D121" s="2406"/>
      <c r="E121" s="2406"/>
      <c r="F121" s="2406"/>
      <c r="G121" s="2406"/>
      <c r="H121" s="2406"/>
      <c r="I121" s="2406"/>
      <c r="J121" s="2406"/>
      <c r="K121" s="2406"/>
      <c r="L121" s="2406"/>
      <c r="M121" s="2407"/>
      <c r="U121" s="98">
        <f t="shared" si="20"/>
        <v>1</v>
      </c>
      <c r="V121" s="98">
        <f>IF(W121&gt;0,X121+X120+X119+X118+X117+X116+X115+X114+X113+X112,0)</f>
        <v>0</v>
      </c>
      <c r="W121" s="98">
        <f t="shared" si="21"/>
        <v>0</v>
      </c>
      <c r="X121" s="98">
        <f t="shared" si="22"/>
        <v>0</v>
      </c>
      <c r="Y121" s="98">
        <v>10</v>
      </c>
      <c r="AB121" s="463" t="str">
        <f>IF(AND('Project Info and Instructions'!F20="Owner-occupied",AQ101&lt;$AT$101),"Mortgage term has not been indicated for all listed homes."," ")</f>
        <v xml:space="preserve"> </v>
      </c>
      <c r="AC121" s="97" t="str">
        <f t="shared" si="23"/>
        <v/>
      </c>
    </row>
    <row r="122" spans="2:56" ht="12" customHeight="1">
      <c r="B122" s="2405" t="str">
        <f t="shared" si="19"/>
        <v xml:space="preserve"> </v>
      </c>
      <c r="C122" s="2406"/>
      <c r="D122" s="2406"/>
      <c r="E122" s="2406"/>
      <c r="F122" s="2406"/>
      <c r="G122" s="2406"/>
      <c r="H122" s="2406"/>
      <c r="I122" s="2406"/>
      <c r="J122" s="2406"/>
      <c r="K122" s="2406"/>
      <c r="L122" s="2406"/>
      <c r="M122" s="2407"/>
      <c r="U122" s="98">
        <f t="shared" si="20"/>
        <v>1</v>
      </c>
      <c r="V122" s="98">
        <f>IF(W122&gt;0,X122+X121+X120+X119+X118+X117+X116+X115+X114+X113+X112,0)</f>
        <v>0</v>
      </c>
      <c r="W122" s="98">
        <f t="shared" si="21"/>
        <v>0</v>
      </c>
      <c r="X122" s="98">
        <f t="shared" si="22"/>
        <v>0</v>
      </c>
      <c r="Y122" s="98">
        <v>11</v>
      </c>
      <c r="AB122" s="463" t="str">
        <f>IF(AND('Project Info and Instructions'!F20="Owner-occupied",AR101&lt;$AT$101),"Monthly taxes and insurance has not been indicated for all listed homes."," ")</f>
        <v xml:space="preserve"> </v>
      </c>
      <c r="AC122" s="97" t="str">
        <f t="shared" si="23"/>
        <v/>
      </c>
    </row>
    <row r="123" spans="2:56" ht="12" customHeight="1">
      <c r="B123" s="2405" t="str">
        <f t="shared" si="19"/>
        <v xml:space="preserve"> </v>
      </c>
      <c r="C123" s="2406"/>
      <c r="D123" s="2406"/>
      <c r="E123" s="2406"/>
      <c r="F123" s="2406"/>
      <c r="G123" s="2406"/>
      <c r="H123" s="2406"/>
      <c r="I123" s="2406"/>
      <c r="J123" s="2406"/>
      <c r="K123" s="2406"/>
      <c r="L123" s="2406"/>
      <c r="M123" s="2407"/>
      <c r="AB123" s="467"/>
    </row>
    <row r="124" spans="2:56" ht="12" customHeight="1">
      <c r="B124" s="2405" t="str">
        <f t="shared" si="19"/>
        <v xml:space="preserve"> </v>
      </c>
      <c r="C124" s="2406"/>
      <c r="D124" s="2406"/>
      <c r="E124" s="2406"/>
      <c r="F124" s="2406"/>
      <c r="G124" s="2406"/>
      <c r="H124" s="2406"/>
      <c r="I124" s="2406"/>
      <c r="J124" s="2406"/>
      <c r="K124" s="2406"/>
      <c r="L124" s="2406"/>
      <c r="M124" s="2407"/>
      <c r="AB124" s="467"/>
    </row>
    <row r="125" spans="2:56" ht="12" customHeight="1">
      <c r="B125" s="2405" t="str">
        <f t="shared" si="19"/>
        <v xml:space="preserve"> </v>
      </c>
      <c r="C125" s="2406"/>
      <c r="D125" s="2406"/>
      <c r="E125" s="2406"/>
      <c r="F125" s="2406"/>
      <c r="G125" s="2406"/>
      <c r="H125" s="2406"/>
      <c r="I125" s="2406"/>
      <c r="J125" s="2406"/>
      <c r="K125" s="2406"/>
      <c r="L125" s="2406"/>
      <c r="M125" s="2407"/>
    </row>
    <row r="126" spans="2:56" ht="12" customHeight="1">
      <c r="B126" s="2405" t="str">
        <f t="shared" si="19"/>
        <v xml:space="preserve"> </v>
      </c>
      <c r="C126" s="2406"/>
      <c r="D126" s="2406"/>
      <c r="E126" s="2406"/>
      <c r="F126" s="2406"/>
      <c r="G126" s="2406"/>
      <c r="H126" s="2406"/>
      <c r="I126" s="2406"/>
      <c r="J126" s="2406"/>
      <c r="K126" s="2406"/>
      <c r="L126" s="2406"/>
      <c r="M126" s="2407"/>
    </row>
    <row r="127" spans="2:56" ht="12" customHeight="1">
      <c r="B127" s="2405" t="str">
        <f t="shared" si="19"/>
        <v xml:space="preserve"> </v>
      </c>
      <c r="C127" s="2406"/>
      <c r="D127" s="2406"/>
      <c r="E127" s="2406"/>
      <c r="F127" s="2406"/>
      <c r="G127" s="2406"/>
      <c r="H127" s="2406"/>
      <c r="I127" s="2406"/>
      <c r="J127" s="2406"/>
      <c r="K127" s="2406"/>
      <c r="L127" s="2406"/>
      <c r="M127" s="2407"/>
      <c r="S127" s="98">
        <f>SUM(X127:X152)</f>
        <v>3</v>
      </c>
      <c r="T127" s="98">
        <f>MAX(V127:V152)</f>
        <v>3</v>
      </c>
      <c r="U127" s="98">
        <f t="shared" ref="U127:U152" si="24">RANK(V127,$V$127:$V$152)</f>
        <v>4</v>
      </c>
      <c r="V127" s="98">
        <f>IF(W127&gt;0,W127,0)</f>
        <v>0</v>
      </c>
      <c r="W127" s="98">
        <f>X127</f>
        <v>0</v>
      </c>
      <c r="X127" s="98">
        <f>IF(AB127=" ",0,1)</f>
        <v>0</v>
      </c>
      <c r="Y127" s="98">
        <v>1</v>
      </c>
      <c r="AB127" s="463" t="str">
        <f>IF('E-Feasibility Analysis'!M15&lt;&gt;'E-Feasibility Analysis'!M17,"Sources does not equal uses."," ")</f>
        <v xml:space="preserve"> </v>
      </c>
    </row>
    <row r="128" spans="2:56" ht="12.75" thickBot="1">
      <c r="B128" s="2402" t="str">
        <f>IF($T$127&gt;=Y153,(VLOOKUP(Y153,$V$127:$AB$153,7,FALSE))," ")</f>
        <v xml:space="preserve"> </v>
      </c>
      <c r="C128" s="2403"/>
      <c r="D128" s="2403"/>
      <c r="E128" s="2403"/>
      <c r="F128" s="2403"/>
      <c r="G128" s="2403"/>
      <c r="H128" s="2403"/>
      <c r="I128" s="2403"/>
      <c r="J128" s="2403"/>
      <c r="K128" s="2403"/>
      <c r="L128" s="2403"/>
      <c r="M128" s="2404"/>
      <c r="U128" s="98">
        <f t="shared" si="24"/>
        <v>4</v>
      </c>
      <c r="V128" s="98">
        <f>IF(W128&gt;0,X128+X127,0)</f>
        <v>0</v>
      </c>
      <c r="W128" s="98">
        <f t="shared" ref="W128:W136" si="25">IF(X128&gt;0,W127+X128,0)</f>
        <v>0</v>
      </c>
      <c r="X128" s="98">
        <f>IF(AB128=" ",0,1)</f>
        <v>0</v>
      </c>
      <c r="Y128" s="98">
        <v>2</v>
      </c>
      <c r="AB128" s="463" t="str">
        <f>IF(AND('E-Feasibility Analysis'!AC59=1,'E-Feasibility Analysis'!AD59=1),"An explanation as to why the developer fee is greater than 10% of total development costs (net the developer fee) or 15% if the project includes tax credit financing has not been provided."," ")</f>
        <v xml:space="preserve"> </v>
      </c>
    </row>
    <row r="129" spans="2:53" ht="12.75" thickTop="1">
      <c r="U129" s="98">
        <f t="shared" si="24"/>
        <v>4</v>
      </c>
      <c r="V129" s="98">
        <f>IF(W129&gt;0,X127+X129+X128,0)</f>
        <v>0</v>
      </c>
      <c r="W129" s="98">
        <f t="shared" si="25"/>
        <v>0</v>
      </c>
      <c r="X129" s="98">
        <f t="shared" ref="X129:X152" si="26">IF(AB129=" ",0,1)</f>
        <v>0</v>
      </c>
      <c r="Y129" s="98">
        <v>3</v>
      </c>
      <c r="AB129" s="463" t="str">
        <f>IF(AND('E-Feasibility Analysis'!AC78=1,'E-Feasibility Analysis'!AD78=1),"An explanation as to why capitalized operating reserves exceeds 12 months of operating expenses and hard debt service has not been provided."," ")</f>
        <v xml:space="preserve"> </v>
      </c>
    </row>
    <row r="130" spans="2:53" ht="21.75" customHeight="1" thickBot="1">
      <c r="B130" s="2425" t="str">
        <f>IF('Project Info and Instructions'!Z45=3,"Tenant Income Verification (TIV)","Tenant Income Verification (TIV) - N/A, Required for Occupied Rehabilitation Rental Projects")</f>
        <v>Tenant Income Verification (TIV)</v>
      </c>
      <c r="C130" s="2425"/>
      <c r="D130" s="2425"/>
      <c r="E130" s="2425"/>
      <c r="F130" s="2425"/>
      <c r="G130" s="2425"/>
      <c r="H130" s="2425"/>
      <c r="I130" s="2425"/>
      <c r="J130" s="2425"/>
      <c r="K130" s="2425"/>
      <c r="L130" s="2425"/>
      <c r="M130" s="2425"/>
      <c r="O130" s="457"/>
      <c r="P130" s="457"/>
      <c r="U130" s="98">
        <f t="shared" si="24"/>
        <v>4</v>
      </c>
      <c r="V130" s="98">
        <f>IF(W130&gt;0,X127+X130+X129+X128,0)</f>
        <v>0</v>
      </c>
      <c r="W130" s="98">
        <f t="shared" si="25"/>
        <v>0</v>
      </c>
      <c r="X130" s="98">
        <f t="shared" si="26"/>
        <v>0</v>
      </c>
      <c r="Y130" s="98">
        <v>4</v>
      </c>
      <c r="AB130" s="463" t="str">
        <f>IF(AND('E-Feasibility Analysis'!AB98=1,'E-Feasibility Analysis'!AC98=1),"An explanation for the project's development costs exceeding RSMeans has not been provided."," ")</f>
        <v xml:space="preserve"> </v>
      </c>
    </row>
    <row r="131" spans="2:53" ht="12" customHeight="1" thickTop="1">
      <c r="B131" s="2408" t="e">
        <f t="shared" ref="B131:B148" si="27">IF($B$130="Tenant Income Verification (TIV)",IF($T$160&gt;=Y157,(VLOOKUP(Y157,$V$157:$AB$174,7,FALSE))," ")," ")</f>
        <v>#REF!</v>
      </c>
      <c r="C131" s="2409"/>
      <c r="D131" s="2409"/>
      <c r="E131" s="2409"/>
      <c r="F131" s="2409"/>
      <c r="G131" s="2409"/>
      <c r="H131" s="2409"/>
      <c r="I131" s="2409"/>
      <c r="J131" s="2409"/>
      <c r="K131" s="2409"/>
      <c r="L131" s="2409"/>
      <c r="M131" s="2410"/>
      <c r="U131" s="98">
        <f t="shared" si="24"/>
        <v>4</v>
      </c>
      <c r="V131" s="98">
        <f>IF(W131&gt;0,X131+X130+X129+X128+X127,0)</f>
        <v>0</v>
      </c>
      <c r="W131" s="98">
        <f t="shared" si="25"/>
        <v>0</v>
      </c>
      <c r="X131" s="98">
        <f t="shared" si="26"/>
        <v>0</v>
      </c>
      <c r="Y131" s="98">
        <v>5</v>
      </c>
      <c r="AB131" s="463" t="str">
        <f>IF(AND('E-Feasibility Analysis'!AB116=1,'E-Feasibility Analysis'!AC116=1),"An explanation for the project's hard cost contingency exceeding the benchmark for the project type has not been provided."," ")</f>
        <v xml:space="preserve"> </v>
      </c>
    </row>
    <row r="132" spans="2:53" ht="12" customHeight="1">
      <c r="B132" s="2405" t="e">
        <f t="shared" si="27"/>
        <v>#REF!</v>
      </c>
      <c r="C132" s="2406"/>
      <c r="D132" s="2406"/>
      <c r="E132" s="2406"/>
      <c r="F132" s="2406"/>
      <c r="G132" s="2406"/>
      <c r="H132" s="2406"/>
      <c r="I132" s="2406"/>
      <c r="J132" s="2406"/>
      <c r="K132" s="2406"/>
      <c r="L132" s="2406"/>
      <c r="M132" s="2407"/>
      <c r="U132" s="98">
        <f t="shared" si="24"/>
        <v>4</v>
      </c>
      <c r="V132" s="98">
        <f>IF(W132&gt;0,X132+X131+X130+X129+X128+X127,0)</f>
        <v>0</v>
      </c>
      <c r="W132" s="98">
        <f t="shared" si="25"/>
        <v>0</v>
      </c>
      <c r="X132" s="98">
        <f t="shared" si="26"/>
        <v>0</v>
      </c>
      <c r="Y132" s="98">
        <v>6</v>
      </c>
      <c r="AB132" s="463" t="str">
        <f>IF(AND('E-Feasibility Analysis'!AB123=1,'E-Feasibility Analysis'!AC123=1),"An explanation for the project's soft cost contingency exceeding the benchmark has not been provided."," ")</f>
        <v xml:space="preserve"> </v>
      </c>
    </row>
    <row r="133" spans="2:53" ht="12" customHeight="1">
      <c r="B133" s="2405" t="e">
        <f t="shared" si="27"/>
        <v>#REF!</v>
      </c>
      <c r="C133" s="2406"/>
      <c r="D133" s="2406"/>
      <c r="E133" s="2406"/>
      <c r="F133" s="2406"/>
      <c r="G133" s="2406"/>
      <c r="H133" s="2406"/>
      <c r="I133" s="2406"/>
      <c r="J133" s="2406"/>
      <c r="K133" s="2406"/>
      <c r="L133" s="2406"/>
      <c r="M133" s="2407"/>
      <c r="N133" s="457"/>
      <c r="U133" s="98">
        <f t="shared" si="24"/>
        <v>4</v>
      </c>
      <c r="V133" s="98">
        <f>IF(W133&gt;0,X128+X133+X132+X131+X130+X129+X127,0)</f>
        <v>0</v>
      </c>
      <c r="W133" s="98">
        <f t="shared" si="25"/>
        <v>0</v>
      </c>
      <c r="X133" s="98">
        <f t="shared" si="26"/>
        <v>0</v>
      </c>
      <c r="Y133" s="98">
        <v>7</v>
      </c>
      <c r="AB133" s="463" t="str">
        <f>IF(AND('E-Feasibility Analysis'!AB133=1,'E-Feasibility Analysis'!AC133=1),"An explanation for the project's soft costs exceeding the benchmark has not been provided."," ")</f>
        <v xml:space="preserve"> </v>
      </c>
    </row>
    <row r="134" spans="2:53" ht="12" customHeight="1">
      <c r="B134" s="2405" t="e">
        <f t="shared" si="27"/>
        <v>#REF!</v>
      </c>
      <c r="C134" s="2406"/>
      <c r="D134" s="2406"/>
      <c r="E134" s="2406"/>
      <c r="F134" s="2406"/>
      <c r="G134" s="2406"/>
      <c r="H134" s="2406"/>
      <c r="I134" s="2406"/>
      <c r="J134" s="2406"/>
      <c r="K134" s="2406"/>
      <c r="L134" s="2406"/>
      <c r="M134" s="2407"/>
      <c r="U134" s="98">
        <f t="shared" si="24"/>
        <v>4</v>
      </c>
      <c r="V134" s="98">
        <f>IF(W134&gt;0,X128+X134+X133+X132+X131+X130+X129+X127,0)</f>
        <v>0</v>
      </c>
      <c r="W134" s="98">
        <f t="shared" si="25"/>
        <v>0</v>
      </c>
      <c r="X134" s="98">
        <f t="shared" si="26"/>
        <v>0</v>
      </c>
      <c r="Y134" s="98">
        <v>8</v>
      </c>
      <c r="AB134" s="463" t="str">
        <f>IF('E-Feasibility Analysis'!AI144&gt;0,"The lender name was not provided for all project loans listed under section 3 - Hard &amp; Soft Debt."," ")</f>
        <v xml:space="preserve"> </v>
      </c>
    </row>
    <row r="135" spans="2:53" ht="12" customHeight="1">
      <c r="B135" s="2405" t="e">
        <f t="shared" si="27"/>
        <v>#REF!</v>
      </c>
      <c r="C135" s="2406"/>
      <c r="D135" s="2406"/>
      <c r="E135" s="2406"/>
      <c r="F135" s="2406"/>
      <c r="G135" s="2406"/>
      <c r="H135" s="2406"/>
      <c r="I135" s="2406"/>
      <c r="J135" s="2406"/>
      <c r="K135" s="2406"/>
      <c r="L135" s="2406"/>
      <c r="M135" s="2407"/>
      <c r="U135" s="98">
        <f t="shared" si="24"/>
        <v>4</v>
      </c>
      <c r="V135" s="98">
        <f>IF(W135&gt;0,X129+X135+X134+X133+X132+X131+X130+X127+X128,0)</f>
        <v>0</v>
      </c>
      <c r="W135" s="98">
        <f t="shared" si="25"/>
        <v>0</v>
      </c>
      <c r="X135" s="98">
        <f t="shared" si="26"/>
        <v>0</v>
      </c>
      <c r="Y135" s="98">
        <v>9</v>
      </c>
      <c r="AB135" s="463" t="str">
        <f>IF('E-Feasibility Analysis'!AI145&gt;0,"Points have not been indicated for all project loans listed under section 3 - Hard &amp; Soft Debt (input 0 if none)."," ")</f>
        <v xml:space="preserve"> </v>
      </c>
    </row>
    <row r="136" spans="2:53" ht="12" customHeight="1">
      <c r="B136" s="2405" t="e">
        <f t="shared" si="27"/>
        <v>#REF!</v>
      </c>
      <c r="C136" s="2406"/>
      <c r="D136" s="2406"/>
      <c r="E136" s="2406"/>
      <c r="F136" s="2406"/>
      <c r="G136" s="2406"/>
      <c r="H136" s="2406"/>
      <c r="I136" s="2406"/>
      <c r="J136" s="2406"/>
      <c r="K136" s="2406"/>
      <c r="L136" s="2406"/>
      <c r="M136" s="2407"/>
      <c r="U136" s="98">
        <f t="shared" si="24"/>
        <v>4</v>
      </c>
      <c r="V136" s="98">
        <f>IF(W136&gt;0,X130+X129+X136+X135+X134+X133+X132+X131+X127+X128,0)</f>
        <v>0</v>
      </c>
      <c r="W136" s="98">
        <f t="shared" si="25"/>
        <v>0</v>
      </c>
      <c r="X136" s="98">
        <f t="shared" si="26"/>
        <v>0</v>
      </c>
      <c r="Y136" s="98">
        <v>10</v>
      </c>
      <c r="AB136" s="463" t="str">
        <f>IF('E-Feasibility Analysis'!AI146&gt;0,"Fees have not been indicated for all project loans  listed under section 3 - Hard &amp; Soft Debt (input 0 if none)."," ")</f>
        <v xml:space="preserve"> </v>
      </c>
    </row>
    <row r="137" spans="2:53" ht="12" customHeight="1">
      <c r="B137" s="2405" t="e">
        <f t="shared" si="27"/>
        <v>#REF!</v>
      </c>
      <c r="C137" s="2406"/>
      <c r="D137" s="2406"/>
      <c r="E137" s="2406"/>
      <c r="F137" s="2406"/>
      <c r="G137" s="2406"/>
      <c r="H137" s="2406"/>
      <c r="I137" s="2406"/>
      <c r="J137" s="2406"/>
      <c r="K137" s="2406"/>
      <c r="L137" s="2406"/>
      <c r="M137" s="2407"/>
      <c r="U137" s="98">
        <f t="shared" si="24"/>
        <v>4</v>
      </c>
      <c r="V137" s="98">
        <f>IF(W137&gt;0,X131+X130+X137+X136+X135+X134+X133+X132+X129+X128+X127,0)</f>
        <v>0</v>
      </c>
      <c r="W137" s="98">
        <f t="shared" ref="W137:W145" si="28">IF(X137&gt;0,W136+X137,0)</f>
        <v>0</v>
      </c>
      <c r="X137" s="98">
        <f t="shared" si="26"/>
        <v>0</v>
      </c>
      <c r="Y137" s="98">
        <v>11</v>
      </c>
      <c r="AB137" s="463" t="str">
        <f>IF('E-Feasibility Analysis'!AI147&gt;0,"Other charges have not been indicated for all project loans listed under section 3 - Hard &amp; Soft Debt (input 0 if none)."," ")</f>
        <v xml:space="preserve"> </v>
      </c>
    </row>
    <row r="138" spans="2:53" ht="12" customHeight="1">
      <c r="B138" s="2405" t="e">
        <f t="shared" si="27"/>
        <v>#REF!</v>
      </c>
      <c r="C138" s="2406"/>
      <c r="D138" s="2406"/>
      <c r="E138" s="2406"/>
      <c r="F138" s="2406"/>
      <c r="G138" s="2406"/>
      <c r="H138" s="2406"/>
      <c r="I138" s="2406"/>
      <c r="J138" s="2406"/>
      <c r="K138" s="2406"/>
      <c r="L138" s="2406"/>
      <c r="M138" s="2407"/>
      <c r="U138" s="98">
        <f t="shared" si="24"/>
        <v>4</v>
      </c>
      <c r="V138" s="98">
        <f>IF(W138&gt;0,X132+X131+X138+X137+X136+X135+X134+X133+X130+X129+X128+X127,0)</f>
        <v>0</v>
      </c>
      <c r="W138" s="98">
        <f>IF(X138&gt;0,W137+X138,0)</f>
        <v>0</v>
      </c>
      <c r="X138" s="98">
        <f t="shared" si="26"/>
        <v>0</v>
      </c>
      <c r="Y138" s="98">
        <v>12</v>
      </c>
      <c r="AB138" s="463" t="str">
        <f>IF(AND('E-Feasibility Analysis'!Y159=1,'E-Feasibility Analysis'!Z159=1,'Project Info and Instructions'!F20="Rental"),"An explanation for the off-site management fee being outstide of the benchmark has not been provided."," ")</f>
        <v xml:space="preserve"> </v>
      </c>
    </row>
    <row r="139" spans="2:53" ht="12" customHeight="1">
      <c r="B139" s="2405" t="e">
        <f t="shared" si="27"/>
        <v>#REF!</v>
      </c>
      <c r="C139" s="2406"/>
      <c r="D139" s="2406"/>
      <c r="E139" s="2406"/>
      <c r="F139" s="2406"/>
      <c r="G139" s="2406"/>
      <c r="H139" s="2406"/>
      <c r="I139" s="2406"/>
      <c r="J139" s="2406"/>
      <c r="K139" s="2406"/>
      <c r="L139" s="2406"/>
      <c r="M139" s="2407"/>
      <c r="U139" s="98">
        <f t="shared" si="24"/>
        <v>4</v>
      </c>
      <c r="V139" s="98">
        <f>IF(W139&gt;0,X133+X132+X139+X138+X137+X136+X135+X134+X131+X130+X129+X128+X127,0)</f>
        <v>0</v>
      </c>
      <c r="W139" s="98">
        <f t="shared" si="28"/>
        <v>0</v>
      </c>
      <c r="X139" s="98">
        <f t="shared" si="26"/>
        <v>0</v>
      </c>
      <c r="Y139" s="98">
        <v>13</v>
      </c>
      <c r="AB139" s="463" t="str">
        <f>IF(AND('E-Feasibility Analysis'!Y169=1,'E-Feasibility Analysis'!Z169=1,'Project Info and Instructions'!F20="Rental"),"An explanation for key expenses being outside of the benchmark has not been provided."," ")</f>
        <v xml:space="preserve"> </v>
      </c>
    </row>
    <row r="140" spans="2:53" ht="12" customHeight="1">
      <c r="B140" s="2405" t="e">
        <f t="shared" si="27"/>
        <v>#REF!</v>
      </c>
      <c r="C140" s="2406"/>
      <c r="D140" s="2406"/>
      <c r="E140" s="2406"/>
      <c r="F140" s="2406"/>
      <c r="G140" s="2406"/>
      <c r="H140" s="2406"/>
      <c r="I140" s="2406"/>
      <c r="J140" s="2406"/>
      <c r="K140" s="2406"/>
      <c r="L140" s="2406"/>
      <c r="M140" s="2407"/>
      <c r="U140" s="98">
        <f t="shared" si="24"/>
        <v>4</v>
      </c>
      <c r="V140" s="98">
        <f>IF(W140&gt;0,X134+X133+X140+X139+X138+X137+X136+X135+X132+X131+X130+X129+X128+X127,0)</f>
        <v>0</v>
      </c>
      <c r="W140" s="98">
        <f t="shared" si="28"/>
        <v>0</v>
      </c>
      <c r="X140" s="98">
        <f t="shared" si="26"/>
        <v>0</v>
      </c>
      <c r="Y140" s="98">
        <v>14</v>
      </c>
      <c r="AB140" s="463" t="str">
        <f>IF(AND('E-Feasibility Analysis'!Y175=1,'E-Feasibility Analysis'!Z175=1,'Project Info and Instructions'!F20="Rental"),"An explanation for vacancy allowance being outside of the benchmark has not been provided."," ")</f>
        <v xml:space="preserve"> </v>
      </c>
      <c r="AL140" s="98" t="s">
        <v>124</v>
      </c>
      <c r="AM140" s="98" t="s">
        <v>60</v>
      </c>
      <c r="AN140" s="98" t="s">
        <v>153</v>
      </c>
      <c r="AO140" s="98" t="s">
        <v>61</v>
      </c>
      <c r="AP140" s="98" t="s">
        <v>49</v>
      </c>
      <c r="AQ140" s="98" t="s">
        <v>62</v>
      </c>
      <c r="AR140" s="98" t="s">
        <v>711</v>
      </c>
      <c r="AS140" s="98" t="s">
        <v>63</v>
      </c>
      <c r="AT140" s="98" t="s">
        <v>64</v>
      </c>
      <c r="AU140" s="98" t="s">
        <v>65</v>
      </c>
      <c r="AV140" s="98" t="s">
        <v>66</v>
      </c>
      <c r="AW140" s="98" t="s">
        <v>67</v>
      </c>
      <c r="AX140" s="98" t="s">
        <v>68</v>
      </c>
    </row>
    <row r="141" spans="2:53" ht="12" customHeight="1">
      <c r="B141" s="2405" t="e">
        <f t="shared" si="27"/>
        <v>#REF!</v>
      </c>
      <c r="C141" s="2406"/>
      <c r="D141" s="2406"/>
      <c r="E141" s="2406"/>
      <c r="F141" s="2406"/>
      <c r="G141" s="2406"/>
      <c r="H141" s="2406"/>
      <c r="I141" s="2406"/>
      <c r="J141" s="2406"/>
      <c r="K141" s="2406"/>
      <c r="L141" s="2406"/>
      <c r="M141" s="2407"/>
      <c r="U141" s="98">
        <f t="shared" si="24"/>
        <v>4</v>
      </c>
      <c r="V141" s="98">
        <f>IF(W141&gt;0,X135+X134+X141+X140+X139+X138+X137+X136+X133+X132+X131+X130+X129+X128+X127,0)</f>
        <v>0</v>
      </c>
      <c r="W141" s="98">
        <f t="shared" si="28"/>
        <v>0</v>
      </c>
      <c r="X141" s="98">
        <f t="shared" si="26"/>
        <v>0</v>
      </c>
      <c r="Y141" s="98">
        <v>15</v>
      </c>
      <c r="AB141" s="463" t="str">
        <f>IF(AND('E-Feasibility Analysis'!Y182=1,'E-Feasibility Analysis'!Z182=1,'Project Info and Instructions'!F20="Rental"),"An explanation for the debt coverage ratio (no private debt) being outside of the benchmark has not been provided."," ")</f>
        <v xml:space="preserve"> </v>
      </c>
      <c r="AL141" s="98" t="e">
        <f>COUNTIF(#REF!,"&lt;&gt;")</f>
        <v>#REF!</v>
      </c>
      <c r="AM141" s="97" t="e">
        <f>COUNTIFS(#REF!,"&lt;&gt;",#REF!,"&lt;&gt;"&amp;#REF!)</f>
        <v>#REF!</v>
      </c>
      <c r="AN141" s="98" t="e">
        <f>COUNTIF(#REF!,"&lt;&gt;")</f>
        <v>#REF!</v>
      </c>
      <c r="AO141" s="98" t="e">
        <f>COUNTIF(#REF!,"&lt;&gt;")</f>
        <v>#REF!</v>
      </c>
      <c r="AP141" s="98" t="e">
        <f>COUNTIF(#REF!,"&lt;&gt;")</f>
        <v>#REF!</v>
      </c>
      <c r="AQ141" s="98" t="e">
        <f>COUNTIFS(#REF!,"&lt;&gt;",#REF!,"&lt;&gt;"&amp;#REF!)</f>
        <v>#REF!</v>
      </c>
      <c r="AR141" s="98" t="e">
        <f>COUNTIF(#REF!,"&lt;&gt;")</f>
        <v>#REF!</v>
      </c>
      <c r="AS141" s="98" t="e">
        <f>COUNTIFS(#REF!,"&lt;&gt;",#REF!,"&lt;&gt;"&amp;#REF!)</f>
        <v>#REF!</v>
      </c>
      <c r="AT141" s="469" t="e">
        <f>COUNTIFS(#REF!,"&lt;&gt;",#REF!:#REF!,"&lt;&gt;"&amp;#REF!)</f>
        <v>#REF!</v>
      </c>
      <c r="AU141" s="98" t="e">
        <f>COUNTIFS(#REF!,"&lt;&gt;",#REF!,"&lt;&gt;"&amp;#REF!)</f>
        <v>#REF!</v>
      </c>
      <c r="AV141" s="98" t="e">
        <f>COUNTIFS(#REF!,"&lt;&gt;",#REF!,"&lt;&gt;"&amp;#REF!)</f>
        <v>#REF!</v>
      </c>
      <c r="AW141" s="98" t="e">
        <f>COUNTIFS(#REF!,"&lt;&gt;",#REF!,"&lt;&gt;"&amp;#REF!)</f>
        <v>#REF!</v>
      </c>
      <c r="AX141" s="98" t="e">
        <f>COUNTIFS(#REF!,"&lt;&gt;",#REF!,"&lt;&gt;"&amp;#REF!)</f>
        <v>#REF!</v>
      </c>
      <c r="AY141" s="98"/>
      <c r="AZ141" s="97" t="e">
        <f>MAX(AL141:AY141)</f>
        <v>#REF!</v>
      </c>
      <c r="BA141" s="97" t="e">
        <f>AZ141-#REF!</f>
        <v>#REF!</v>
      </c>
    </row>
    <row r="142" spans="2:53" ht="12" customHeight="1">
      <c r="B142" s="2405" t="e">
        <f t="shared" si="27"/>
        <v>#REF!</v>
      </c>
      <c r="C142" s="2406"/>
      <c r="D142" s="2406"/>
      <c r="E142" s="2406"/>
      <c r="F142" s="2406"/>
      <c r="G142" s="2406"/>
      <c r="H142" s="2406"/>
      <c r="I142" s="2406"/>
      <c r="J142" s="2406"/>
      <c r="K142" s="2406"/>
      <c r="L142" s="2406"/>
      <c r="M142" s="2407"/>
      <c r="U142" s="98">
        <f t="shared" si="24"/>
        <v>4</v>
      </c>
      <c r="V142" s="98">
        <f>IF(W142&gt;0,X136+X135+X142+X141+X140+X139+X138+X137+X134+X133+X132+X131+X130+X129+X128+X127,0)</f>
        <v>0</v>
      </c>
      <c r="W142" s="98">
        <f t="shared" si="28"/>
        <v>0</v>
      </c>
      <c r="X142" s="98">
        <f t="shared" si="26"/>
        <v>0</v>
      </c>
      <c r="Y142" s="98">
        <v>16</v>
      </c>
      <c r="AB142" s="463" t="str">
        <f>IF(AND('E-Feasibility Analysis'!Y187=1,'E-Feasibility Analysis'!Z187=1,'Project Info and Instructions'!F20="Rental"),"An explanation for the debt coverage ratio (with private debt)  being outside of the benchmark has not been provided."," ")</f>
        <v xml:space="preserve"> </v>
      </c>
      <c r="AM142" s="113"/>
    </row>
    <row r="143" spans="2:53" ht="12" customHeight="1">
      <c r="B143" s="2405" t="e">
        <f t="shared" si="27"/>
        <v>#REF!</v>
      </c>
      <c r="C143" s="2406"/>
      <c r="D143" s="2406"/>
      <c r="E143" s="2406"/>
      <c r="F143" s="2406"/>
      <c r="G143" s="2406"/>
      <c r="H143" s="2406"/>
      <c r="I143" s="2406"/>
      <c r="J143" s="2406"/>
      <c r="K143" s="2406"/>
      <c r="L143" s="2406"/>
      <c r="M143" s="2407"/>
      <c r="U143" s="98">
        <f t="shared" si="24"/>
        <v>4</v>
      </c>
      <c r="V143" s="98">
        <f>IF(W143&gt;0,X137+X136+X143+X142+X141+X140+X139+X138+X135+X134+X133+X132+X131+X130+X129+X128+X127,0)</f>
        <v>0</v>
      </c>
      <c r="W143" s="98">
        <f t="shared" si="28"/>
        <v>0</v>
      </c>
      <c r="X143" s="98">
        <f t="shared" si="26"/>
        <v>0</v>
      </c>
      <c r="Y143" s="98">
        <v>17</v>
      </c>
      <c r="AB143" s="463" t="str">
        <f>IF(AND('E-Feasibility Analysis'!Y204=1,'E-Feasibility Analysis'!Z204=1,'Project Info and Instructions'!F20="Rental"),"An explanation for replacement reserves being outside of the benchmark has not been provided."," ")</f>
        <v xml:space="preserve"> </v>
      </c>
      <c r="AM143" s="113"/>
    </row>
    <row r="144" spans="2:53" ht="12" customHeight="1">
      <c r="B144" s="2405" t="e">
        <f t="shared" si="27"/>
        <v>#REF!</v>
      </c>
      <c r="C144" s="2406"/>
      <c r="D144" s="2406"/>
      <c r="E144" s="2406"/>
      <c r="F144" s="2406"/>
      <c r="G144" s="2406"/>
      <c r="H144" s="2406"/>
      <c r="I144" s="2406"/>
      <c r="J144" s="2406"/>
      <c r="K144" s="2406"/>
      <c r="L144" s="2406"/>
      <c r="M144" s="2407"/>
      <c r="U144" s="98">
        <f t="shared" si="24"/>
        <v>4</v>
      </c>
      <c r="V144" s="98">
        <f>IF(W144&gt;0,X138+X137+X144+X143+X142+X141+X140+X139+X136+X135+X134+X133+X132+X131+X130+X129+X128+X127,0)</f>
        <v>0</v>
      </c>
      <c r="W144" s="98">
        <f t="shared" si="28"/>
        <v>0</v>
      </c>
      <c r="X144" s="98">
        <f t="shared" si="26"/>
        <v>0</v>
      </c>
      <c r="Y144" s="98">
        <v>18</v>
      </c>
      <c r="AB144" s="463" t="str">
        <f>IF(AND('E-Feasibility Analysis'!Y211=1,'E-Feasibility Analysis'!Z211=1,'Project Info and Instructions'!F20="Rental"),"An explanation for operating reserves being outstide of the benchmark has not been provided."," ")</f>
        <v xml:space="preserve"> </v>
      </c>
    </row>
    <row r="145" spans="2:31" ht="12" customHeight="1">
      <c r="B145" s="2405" t="e">
        <f t="shared" si="27"/>
        <v>#REF!</v>
      </c>
      <c r="C145" s="2406"/>
      <c r="D145" s="2406"/>
      <c r="E145" s="2406"/>
      <c r="F145" s="2406"/>
      <c r="G145" s="2406"/>
      <c r="H145" s="2406"/>
      <c r="I145" s="2406"/>
      <c r="J145" s="2406"/>
      <c r="K145" s="2406"/>
      <c r="L145" s="2406"/>
      <c r="M145" s="2407"/>
      <c r="U145" s="98">
        <f t="shared" si="24"/>
        <v>4</v>
      </c>
      <c r="V145" s="98">
        <f>IF(W145&gt;0,X139+X138+X145+X144+X143+X142+X141+X140+X137+X136+X135+X134+X133+X132+X131+X130+X129+X128+X127,0)</f>
        <v>0</v>
      </c>
      <c r="W145" s="98">
        <f t="shared" si="28"/>
        <v>0</v>
      </c>
      <c r="X145" s="98">
        <f t="shared" si="26"/>
        <v>0</v>
      </c>
      <c r="Y145" s="98">
        <v>19</v>
      </c>
      <c r="AB145" s="463" t="str">
        <f>IF(AND('E-Feasibility Analysis'!Y218=1,'E-Feasibility Analysis'!Z218=1,'Project Info and Instructions'!F20="Rental"),"An explanation for the annual rent increase being outside of the benchmark has not been provided."," ")</f>
        <v xml:space="preserve"> </v>
      </c>
    </row>
    <row r="146" spans="2:31" ht="12" customHeight="1">
      <c r="B146" s="2405" t="e">
        <f t="shared" si="27"/>
        <v>#REF!</v>
      </c>
      <c r="C146" s="2406"/>
      <c r="D146" s="2406"/>
      <c r="E146" s="2406"/>
      <c r="F146" s="2406"/>
      <c r="G146" s="2406"/>
      <c r="H146" s="2406"/>
      <c r="I146" s="2406"/>
      <c r="J146" s="2406"/>
      <c r="K146" s="2406"/>
      <c r="L146" s="2406"/>
      <c r="M146" s="2407"/>
      <c r="U146" s="98">
        <f t="shared" si="24"/>
        <v>4</v>
      </c>
      <c r="V146" s="98">
        <f>IF(W146&gt;0,X140+X139+X146+X145+X144+X143+X142+X141+X138+X137+X136+X135+X134+X133+X132+X131+X130+X129+X128+X127,0)</f>
        <v>0</v>
      </c>
      <c r="W146" s="98">
        <f t="shared" ref="W146:W152" si="29">IF(X146&gt;0,W145+X146,0)</f>
        <v>0</v>
      </c>
      <c r="X146" s="98">
        <f t="shared" si="26"/>
        <v>0</v>
      </c>
      <c r="Y146" s="98">
        <v>20</v>
      </c>
      <c r="AB146" s="463" t="str">
        <f>IF(AND('E-Feasibility Analysis'!Y228=1,'E-Feasibility Analysis'!Z228=1,'Project Info and Instructions'!F20="Rental"),"An explanation for the annual operating expense increase being outside of the benchmark has not been provided."," ")</f>
        <v xml:space="preserve"> </v>
      </c>
    </row>
    <row r="147" spans="2:31" ht="12" customHeight="1">
      <c r="B147" s="2405" t="e">
        <f t="shared" si="27"/>
        <v>#REF!</v>
      </c>
      <c r="C147" s="2406"/>
      <c r="D147" s="2406"/>
      <c r="E147" s="2406"/>
      <c r="F147" s="2406"/>
      <c r="G147" s="2406"/>
      <c r="H147" s="2406"/>
      <c r="I147" s="2406"/>
      <c r="J147" s="2406"/>
      <c r="K147" s="2406"/>
      <c r="L147" s="2406"/>
      <c r="M147" s="2407"/>
      <c r="U147" s="98">
        <f t="shared" si="24"/>
        <v>3</v>
      </c>
      <c r="V147" s="98">
        <f>IF(W147&gt;0,X141+X140+X147+X146+X145+X144+X143+X142+X139+X138+X137+X136+X135+X134+X133+X132+X131+X130+X129+X128+X127,0)</f>
        <v>1</v>
      </c>
      <c r="W147" s="98">
        <f t="shared" si="29"/>
        <v>1</v>
      </c>
      <c r="X147" s="98">
        <f t="shared" si="26"/>
        <v>1</v>
      </c>
      <c r="Y147" s="98">
        <v>21</v>
      </c>
      <c r="AB147" s="463" t="str">
        <f>IF(AE148=0,"A state has not been selected for the RSMeans cost reasonableness benchmark."," ")</f>
        <v>A state has not been selected for the RSMeans cost reasonableness benchmark.</v>
      </c>
    </row>
    <row r="148" spans="2:31" ht="12.75" thickBot="1">
      <c r="B148" s="2402" t="e">
        <f t="shared" si="27"/>
        <v>#REF!</v>
      </c>
      <c r="C148" s="2403"/>
      <c r="D148" s="2403"/>
      <c r="E148" s="2403"/>
      <c r="F148" s="2403"/>
      <c r="G148" s="2403"/>
      <c r="H148" s="2403"/>
      <c r="I148" s="2403"/>
      <c r="J148" s="2403"/>
      <c r="K148" s="2403"/>
      <c r="L148" s="2403"/>
      <c r="M148" s="2404"/>
      <c r="U148" s="98">
        <f t="shared" si="24"/>
        <v>4</v>
      </c>
      <c r="V148" s="98">
        <f>IF(W148&gt;0,X142+X141+X148+X147+X146+X145+X144+X143+X140+X139+X138+X137+X136+X135+X134+X133+X132+X131+X130+X129+X128+X127,0)</f>
        <v>0</v>
      </c>
      <c r="W148" s="98">
        <f t="shared" si="29"/>
        <v>0</v>
      </c>
      <c r="X148" s="98">
        <f t="shared" si="26"/>
        <v>0</v>
      </c>
      <c r="Y148" s="98">
        <v>22</v>
      </c>
      <c r="AB148" s="463" t="str">
        <f>IF(AE149=0,"The RSMeans zone has not been selected for the RSMeans cost reasonableness benchmark."," ")</f>
        <v xml:space="preserve"> </v>
      </c>
      <c r="AE148" s="97">
        <f>'E-Feasibility Analysis'!$L$92</f>
        <v>0</v>
      </c>
    </row>
    <row r="149" spans="2:31" ht="12.75" thickTop="1">
      <c r="U149" s="98">
        <f t="shared" si="24"/>
        <v>2</v>
      </c>
      <c r="V149" s="98">
        <f>IF(W149&gt;0,X143+X142+X149+X148+X147+X146+X145+X144+X141+X140+X139+X138+X137+X136+X135+X134+X133+X132+X131+X130+X129+X128+X127,0)</f>
        <v>2</v>
      </c>
      <c r="W149" s="98">
        <f t="shared" si="29"/>
        <v>1</v>
      </c>
      <c r="X149" s="98">
        <f t="shared" si="26"/>
        <v>1</v>
      </c>
      <c r="Y149" s="98">
        <v>23</v>
      </c>
      <c r="AB149" s="463" t="str">
        <f>IF(AE150=0,"The housing type has not been selected for the RSMeans cost reasonableness benchmark."," ")</f>
        <v>The housing type has not been selected for the RSMeans cost reasonableness benchmark.</v>
      </c>
      <c r="AE149" s="97" t="str">
        <f>'E-Feasibility Analysis'!$K$98</f>
        <v/>
      </c>
    </row>
    <row r="150" spans="2:31" ht="19.5" thickBot="1">
      <c r="B150" s="2425" t="str">
        <f>IF('Project Info and Instructions'!T8=2,"Sponsor Provided Financing","Sponsor Provided Financing - N/A, Required for Owner-occupied Projects with Sponsor Provided Financing")</f>
        <v>Sponsor Provided Financing - N/A, Required for Owner-occupied Projects with Sponsor Provided Financing</v>
      </c>
      <c r="C150" s="2425"/>
      <c r="D150" s="2425"/>
      <c r="E150" s="2425"/>
      <c r="F150" s="2425"/>
      <c r="G150" s="2425"/>
      <c r="H150" s="2425"/>
      <c r="I150" s="2425"/>
      <c r="J150" s="2425"/>
      <c r="K150" s="2425"/>
      <c r="L150" s="2425"/>
      <c r="M150" s="2425"/>
      <c r="U150" s="98">
        <f t="shared" si="24"/>
        <v>4</v>
      </c>
      <c r="V150" s="98">
        <f>IF(W150&gt;0,X144+X143+X150+X149+X148+X147+X146+X145+X142+X141+X140+X139+X138+X137+X136+X135+X134+X133+X132+X131+X130+X129+X128+X127,0)</f>
        <v>0</v>
      </c>
      <c r="W150" s="98">
        <f t="shared" si="29"/>
        <v>0</v>
      </c>
      <c r="X150" s="98">
        <f t="shared" si="26"/>
        <v>0</v>
      </c>
      <c r="Y150" s="98">
        <v>24</v>
      </c>
      <c r="AB150" s="463" t="str">
        <f>IF(AE151="Select One…","Construction, rehabiliation, or acquisition has not been selected for the hard cost contigency cost reasonableness benchmark."," ")</f>
        <v xml:space="preserve"> </v>
      </c>
      <c r="AE150" s="97">
        <f>'E-Feasibility Analysis'!$K$96</f>
        <v>0</v>
      </c>
    </row>
    <row r="151" spans="2:31" ht="12" customHeight="1" thickTop="1">
      <c r="B151" s="2408" t="str">
        <f t="shared" ref="B151:B164" si="30">IF($B$150="Sponsor Provided Financing",IF($T$179&gt;=Y176,(VLOOKUP(Y176,$V$176:$AB$189,7,FALSE))," ")," ")</f>
        <v xml:space="preserve"> </v>
      </c>
      <c r="C151" s="2409"/>
      <c r="D151" s="2409"/>
      <c r="E151" s="2409"/>
      <c r="F151" s="2409"/>
      <c r="G151" s="2409"/>
      <c r="H151" s="2409"/>
      <c r="I151" s="2409"/>
      <c r="J151" s="2409"/>
      <c r="K151" s="2409"/>
      <c r="L151" s="2409"/>
      <c r="M151" s="2410"/>
      <c r="U151" s="98">
        <f t="shared" si="24"/>
        <v>1</v>
      </c>
      <c r="V151" s="98">
        <f>IF(W151&gt;0,X145+X144+X151+X150+X149+X148+X147+X146+X143+X142+X141+X140+X139+X138+X137+X136+X135+X134+X133+X132+X131+X130+X129+X128+X127,0)</f>
        <v>3</v>
      </c>
      <c r="W151" s="98">
        <f t="shared" si="29"/>
        <v>1</v>
      </c>
      <c r="X151" s="98">
        <f t="shared" si="26"/>
        <v>1</v>
      </c>
      <c r="Y151" s="98">
        <v>25</v>
      </c>
      <c r="AB151" s="463" t="str">
        <f>IF(AE152="Select One…","Construction, rehabiliation, or tax credit has not been selected for the hard cost contigency cost reasonableness benchmark."," ")</f>
        <v>Construction, rehabiliation, or tax credit has not been selected for the hard cost contigency cost reasonableness benchmark.</v>
      </c>
      <c r="AE151" s="97" t="str">
        <f>'E-Feasibility Analysis'!$K$111</f>
        <v/>
      </c>
    </row>
    <row r="152" spans="2:31" ht="12" customHeight="1">
      <c r="B152" s="2405" t="str">
        <f t="shared" si="30"/>
        <v xml:space="preserve"> </v>
      </c>
      <c r="C152" s="2406"/>
      <c r="D152" s="2406"/>
      <c r="E152" s="2406"/>
      <c r="F152" s="2406"/>
      <c r="G152" s="2406"/>
      <c r="H152" s="2406"/>
      <c r="I152" s="2406"/>
      <c r="J152" s="2406"/>
      <c r="K152" s="2406"/>
      <c r="L152" s="2406"/>
      <c r="M152" s="2407"/>
      <c r="U152" s="98">
        <f t="shared" si="24"/>
        <v>4</v>
      </c>
      <c r="V152" s="98">
        <f>IF(W152&gt;0,X146+X145+X152+X151+X150+X149+X148+X147+X144+X143+X142+X141+X140+X139+X138+X137+X136+X135+X134+X133+X132+X131+X130+X129+X128+X127,0)</f>
        <v>0</v>
      </c>
      <c r="W152" s="98">
        <f t="shared" si="29"/>
        <v>0</v>
      </c>
      <c r="X152" s="98">
        <f t="shared" si="26"/>
        <v>0</v>
      </c>
      <c r="Y152" s="98">
        <v>26</v>
      </c>
      <c r="AB152" s="467" t="str">
        <f>IF(AND('E-Feasibility Analysis'!Y194=1,'E-Feasibility Analysis'!Z194=1),"An explanation for the project's net cash flow exceeding the benchmark has not been provided."," ")</f>
        <v xml:space="preserve"> </v>
      </c>
      <c r="AE152" s="97" t="str">
        <f>'E-Feasibility Analysis'!$K$130</f>
        <v>Select One…</v>
      </c>
    </row>
    <row r="153" spans="2:31" ht="12" customHeight="1">
      <c r="B153" s="2405" t="str">
        <f t="shared" si="30"/>
        <v xml:space="preserve"> </v>
      </c>
      <c r="C153" s="2406"/>
      <c r="D153" s="2406"/>
      <c r="E153" s="2406"/>
      <c r="F153" s="2406"/>
      <c r="G153" s="2406"/>
      <c r="H153" s="2406"/>
      <c r="I153" s="2406"/>
      <c r="J153" s="2406"/>
      <c r="K153" s="2406"/>
      <c r="L153" s="2406"/>
      <c r="M153" s="2407"/>
    </row>
    <row r="154" spans="2:31" ht="12" customHeight="1">
      <c r="B154" s="2405" t="str">
        <f t="shared" si="30"/>
        <v xml:space="preserve"> </v>
      </c>
      <c r="C154" s="2406"/>
      <c r="D154" s="2406"/>
      <c r="E154" s="2406"/>
      <c r="F154" s="2406"/>
      <c r="G154" s="2406"/>
      <c r="H154" s="2406"/>
      <c r="I154" s="2406"/>
      <c r="J154" s="2406"/>
      <c r="K154" s="2406"/>
      <c r="L154" s="2406"/>
      <c r="M154" s="2407"/>
      <c r="AB154" s="467"/>
    </row>
    <row r="155" spans="2:31" ht="12" customHeight="1">
      <c r="B155" s="2405" t="str">
        <f t="shared" si="30"/>
        <v xml:space="preserve"> </v>
      </c>
      <c r="C155" s="2406"/>
      <c r="D155" s="2406"/>
      <c r="E155" s="2406"/>
      <c r="F155" s="2406"/>
      <c r="G155" s="2406"/>
      <c r="H155" s="2406"/>
      <c r="I155" s="2406"/>
      <c r="J155" s="2406"/>
      <c r="K155" s="2406"/>
      <c r="L155" s="2406"/>
      <c r="M155" s="2407"/>
      <c r="AB155" s="465"/>
    </row>
    <row r="156" spans="2:31" ht="12" customHeight="1">
      <c r="B156" s="2405" t="str">
        <f t="shared" si="30"/>
        <v xml:space="preserve"> </v>
      </c>
      <c r="C156" s="2406"/>
      <c r="D156" s="2406"/>
      <c r="E156" s="2406"/>
      <c r="F156" s="2406"/>
      <c r="G156" s="2406"/>
      <c r="H156" s="2406"/>
      <c r="I156" s="2406"/>
      <c r="J156" s="2406"/>
      <c r="K156" s="2406"/>
      <c r="L156" s="2406"/>
      <c r="M156" s="2407"/>
      <c r="AB156" s="465"/>
    </row>
    <row r="157" spans="2:31" ht="12" customHeight="1">
      <c r="B157" s="2405" t="str">
        <f t="shared" si="30"/>
        <v xml:space="preserve"> </v>
      </c>
      <c r="C157" s="2406"/>
      <c r="D157" s="2406"/>
      <c r="E157" s="2406"/>
      <c r="F157" s="2406"/>
      <c r="G157" s="2406"/>
      <c r="H157" s="2406"/>
      <c r="I157" s="2406"/>
      <c r="J157" s="2406"/>
      <c r="K157" s="2406"/>
      <c r="L157" s="2406"/>
      <c r="M157" s="2407"/>
      <c r="U157" s="98" t="e">
        <f>RANK(V157,$V$157:$V$174)</f>
        <v>#REF!</v>
      </c>
      <c r="V157" s="98" t="e">
        <f>IF(W157&gt;0,W157,0)</f>
        <v>#REF!</v>
      </c>
      <c r="W157" s="98" t="e">
        <f>X157</f>
        <v>#REF!</v>
      </c>
      <c r="X157" s="98" t="e">
        <f>IF(AB157=" ",0,1)</f>
        <v>#REF!</v>
      </c>
      <c r="Y157" s="98">
        <v>1</v>
      </c>
      <c r="AB157" s="463" t="e">
        <f>IF(AND('Project Info and Instructions'!F20="Rental",#REF!=1),"The name of the individual completing the TIV form has not been provided."," ")</f>
        <v>#REF!</v>
      </c>
    </row>
    <row r="158" spans="2:31" ht="12" customHeight="1">
      <c r="B158" s="2405" t="str">
        <f t="shared" si="30"/>
        <v xml:space="preserve"> </v>
      </c>
      <c r="C158" s="2406"/>
      <c r="D158" s="2406"/>
      <c r="E158" s="2406"/>
      <c r="F158" s="2406"/>
      <c r="G158" s="2406"/>
      <c r="H158" s="2406"/>
      <c r="I158" s="2406"/>
      <c r="J158" s="2406"/>
      <c r="K158" s="2406"/>
      <c r="L158" s="2406"/>
      <c r="M158" s="2407"/>
      <c r="U158" s="98" t="e">
        <f t="shared" ref="U158:U174" si="31">RANK(V158,$V$157:$V$174)</f>
        <v>#REF!</v>
      </c>
      <c r="V158" s="98" t="e">
        <f>IF(W158&gt;0,X158+X157,0)</f>
        <v>#REF!</v>
      </c>
      <c r="W158" s="98" t="e">
        <f>IF(X158&gt;0,W157+X158,0)</f>
        <v>#REF!</v>
      </c>
      <c r="X158" s="98" t="e">
        <f t="shared" ref="X158:X169" si="32">IF(AB158=" ",0,1)</f>
        <v>#REF!</v>
      </c>
      <c r="Y158" s="98">
        <v>2</v>
      </c>
      <c r="AB158" s="463" t="e">
        <f>IF(AND('Project Info and Instructions'!F20="Rental",#REF!=1),"The phone number for the individual completing the TIV form has not been provided."," ")</f>
        <v>#REF!</v>
      </c>
    </row>
    <row r="159" spans="2:31" ht="12" customHeight="1">
      <c r="B159" s="2405" t="str">
        <f t="shared" si="30"/>
        <v xml:space="preserve"> </v>
      </c>
      <c r="C159" s="2406"/>
      <c r="D159" s="2406"/>
      <c r="E159" s="2406"/>
      <c r="F159" s="2406"/>
      <c r="G159" s="2406"/>
      <c r="H159" s="2406"/>
      <c r="I159" s="2406"/>
      <c r="J159" s="2406"/>
      <c r="K159" s="2406"/>
      <c r="L159" s="2406"/>
      <c r="M159" s="2407"/>
      <c r="U159" s="98" t="e">
        <f t="shared" si="31"/>
        <v>#REF!</v>
      </c>
      <c r="V159" s="98" t="e">
        <f>IF(W159&gt;0,X159+X158+X157,0)</f>
        <v>#REF!</v>
      </c>
      <c r="W159" s="98" t="e">
        <f>IF(X159&gt;0,W158+X159,0)</f>
        <v>#REF!</v>
      </c>
      <c r="X159" s="98" t="e">
        <f t="shared" si="32"/>
        <v>#REF!</v>
      </c>
      <c r="Y159" s="98">
        <v>3</v>
      </c>
      <c r="AB159" s="463" t="e">
        <f>IF(AND('Project Info and Instructions'!F20="Rental",#REF!=1),"The email for the individual completing the TIV form has not been provided."," ")</f>
        <v>#REF!</v>
      </c>
    </row>
    <row r="160" spans="2:31" ht="12" customHeight="1">
      <c r="B160" s="2405" t="str">
        <f t="shared" si="30"/>
        <v xml:space="preserve"> </v>
      </c>
      <c r="C160" s="2406"/>
      <c r="D160" s="2406"/>
      <c r="E160" s="2406"/>
      <c r="F160" s="2406"/>
      <c r="G160" s="2406"/>
      <c r="H160" s="2406"/>
      <c r="I160" s="2406"/>
      <c r="J160" s="2406"/>
      <c r="K160" s="2406"/>
      <c r="L160" s="2406"/>
      <c r="M160" s="2407"/>
      <c r="S160" s="98" t="e">
        <f>SUM(X157:X174)</f>
        <v>#REF!</v>
      </c>
      <c r="T160" s="98" t="e">
        <f>MAX(V157:V174)</f>
        <v>#REF!</v>
      </c>
      <c r="U160" s="98" t="e">
        <f t="shared" si="31"/>
        <v>#REF!</v>
      </c>
      <c r="V160" s="98" t="e">
        <f>IF(W160&gt;0,X160+X159+X158+X157,0)</f>
        <v>#REF!</v>
      </c>
      <c r="W160" s="98" t="e">
        <f>IF(X160&gt;0,W159+X160,0)</f>
        <v>#REF!</v>
      </c>
      <c r="X160" s="98" t="e">
        <f t="shared" si="32"/>
        <v>#REF!</v>
      </c>
      <c r="Y160" s="98">
        <v>4</v>
      </c>
      <c r="AB160" s="463" t="e">
        <f>IF(AND('Project Info and Instructions'!F20="Rental",#REF!=1),"The as of date on the TIV form has not been provided."," ")</f>
        <v>#REF!</v>
      </c>
    </row>
    <row r="161" spans="2:28" ht="12" customHeight="1">
      <c r="B161" s="2405" t="str">
        <f t="shared" si="30"/>
        <v xml:space="preserve"> </v>
      </c>
      <c r="C161" s="2406"/>
      <c r="D161" s="2406"/>
      <c r="E161" s="2406"/>
      <c r="F161" s="2406"/>
      <c r="G161" s="2406"/>
      <c r="H161" s="2406"/>
      <c r="I161" s="2406"/>
      <c r="J161" s="2406"/>
      <c r="K161" s="2406"/>
      <c r="L161" s="2406"/>
      <c r="M161" s="2407"/>
      <c r="U161" s="98" t="e">
        <f t="shared" si="31"/>
        <v>#REF!</v>
      </c>
      <c r="V161" s="98" t="e">
        <f>IF(W161&gt;0,X161+X160+X159+X158+X157,0)</f>
        <v>#REF!</v>
      </c>
      <c r="W161" s="98" t="e">
        <f>IF(X161&gt;0,W160+X161,0)</f>
        <v>#REF!</v>
      </c>
      <c r="X161" s="98" t="e">
        <f t="shared" si="32"/>
        <v>#REF!</v>
      </c>
      <c r="Y161" s="98">
        <v>5</v>
      </c>
      <c r="AB161" s="463" t="e">
        <f>IF(AND('Project Info and Instructions'!F20="Rental",#REF!=1),"Total units indicated on the TIV does not match total units indicated on the Rent Schedule."," ")</f>
        <v>#REF!</v>
      </c>
    </row>
    <row r="162" spans="2:28" ht="12" customHeight="1">
      <c r="B162" s="2405" t="str">
        <f t="shared" si="30"/>
        <v xml:space="preserve"> </v>
      </c>
      <c r="C162" s="2406"/>
      <c r="D162" s="2406"/>
      <c r="E162" s="2406"/>
      <c r="F162" s="2406"/>
      <c r="G162" s="2406"/>
      <c r="H162" s="2406"/>
      <c r="I162" s="2406"/>
      <c r="J162" s="2406"/>
      <c r="K162" s="2406"/>
      <c r="L162" s="2406"/>
      <c r="M162" s="2407"/>
      <c r="U162" s="98" t="e">
        <f t="shared" si="31"/>
        <v>#REF!</v>
      </c>
      <c r="V162" s="98" t="e">
        <f>IF(W162&gt;0,X162+X161+X160+X159+X158+X157,0)</f>
        <v>#REF!</v>
      </c>
      <c r="W162" s="98" t="e">
        <f t="shared" ref="W162:W169" si="33">IF(X162&gt;0,W161+X162,0)</f>
        <v>#REF!</v>
      </c>
      <c r="X162" s="98" t="e">
        <f t="shared" si="32"/>
        <v>#REF!</v>
      </c>
      <c r="Y162" s="98">
        <v>6</v>
      </c>
      <c r="AB162" s="463" t="e">
        <f>IF(AL141&lt;AZ141,"A unit number has not been provided for all listed tenants/vacant units."," ")</f>
        <v>#REF!</v>
      </c>
    </row>
    <row r="163" spans="2:28" ht="12" customHeight="1">
      <c r="B163" s="2405" t="str">
        <f t="shared" si="30"/>
        <v xml:space="preserve"> </v>
      </c>
      <c r="C163" s="2406"/>
      <c r="D163" s="2406"/>
      <c r="E163" s="2406"/>
      <c r="F163" s="2406"/>
      <c r="G163" s="2406"/>
      <c r="H163" s="2406"/>
      <c r="I163" s="2406"/>
      <c r="J163" s="2406"/>
      <c r="K163" s="2406"/>
      <c r="L163" s="2406"/>
      <c r="M163" s="2407"/>
      <c r="U163" s="98" t="e">
        <f t="shared" si="31"/>
        <v>#REF!</v>
      </c>
      <c r="V163" s="98" t="e">
        <f>IF(W163&gt;0,X157+X163+X162+X161+X160+X159+X158,0)</f>
        <v>#REF!</v>
      </c>
      <c r="W163" s="98" t="e">
        <f t="shared" si="33"/>
        <v>#REF!</v>
      </c>
      <c r="X163" s="98" t="e">
        <f t="shared" si="32"/>
        <v>#REF!</v>
      </c>
      <c r="Y163" s="98">
        <v>7</v>
      </c>
      <c r="AB163" s="463" t="e">
        <f>IF(AN141&lt;$AZ$141,"Number of bedrooms has not been provided for all listed units."," ")</f>
        <v>#REF!</v>
      </c>
    </row>
    <row r="164" spans="2:28" ht="12.75" thickBot="1">
      <c r="B164" s="2402" t="str">
        <f t="shared" si="30"/>
        <v xml:space="preserve"> </v>
      </c>
      <c r="C164" s="2403"/>
      <c r="D164" s="2403"/>
      <c r="E164" s="2403"/>
      <c r="F164" s="2403"/>
      <c r="G164" s="2403"/>
      <c r="H164" s="2403"/>
      <c r="I164" s="2403"/>
      <c r="J164" s="2403"/>
      <c r="K164" s="2403"/>
      <c r="L164" s="2403"/>
      <c r="M164" s="2404"/>
      <c r="U164" s="98" t="e">
        <f t="shared" si="31"/>
        <v>#REF!</v>
      </c>
      <c r="V164" s="98" t="e">
        <f>IF(W164&gt;0,X158+X157+X164+X163+X162+X161+X160+X159,0)</f>
        <v>#REF!</v>
      </c>
      <c r="W164" s="98" t="e">
        <f t="shared" si="33"/>
        <v>#REF!</v>
      </c>
      <c r="X164" s="98" t="e">
        <f t="shared" si="32"/>
        <v>#REF!</v>
      </c>
      <c r="Y164" s="98">
        <v>8</v>
      </c>
      <c r="AB164" s="463" t="e">
        <f>IF(AM141&lt;$BA$141,"A household name has not been provided for all listed non-vacant units"," ")</f>
        <v>#REF!</v>
      </c>
    </row>
    <row r="165" spans="2:28" ht="12.75" thickTop="1">
      <c r="U165" s="98" t="e">
        <f t="shared" si="31"/>
        <v>#REF!</v>
      </c>
      <c r="V165" s="98" t="e">
        <f>IF(W165&gt;0,X159+X158+X165+X164+X163+X162+X161+X160+X157,0)</f>
        <v>#REF!</v>
      </c>
      <c r="W165" s="98" t="e">
        <f t="shared" si="33"/>
        <v>#REF!</v>
      </c>
      <c r="X165" s="98" t="e">
        <f t="shared" si="32"/>
        <v>#REF!</v>
      </c>
      <c r="Y165" s="98">
        <v>9</v>
      </c>
      <c r="AB165" s="463" t="e">
        <f>IF(AP141&lt;$AZ$141,"The unit rent has not been provided for all listed units"," ")</f>
        <v>#REF!</v>
      </c>
    </row>
    <row r="166" spans="2:28">
      <c r="U166" s="98" t="e">
        <f t="shared" si="31"/>
        <v>#REF!</v>
      </c>
      <c r="V166" s="98" t="e">
        <f>IF(W166&gt;0,X160+X159+X166+X165+X164+X163+X162+X161+X158+X157,0)</f>
        <v>#REF!</v>
      </c>
      <c r="W166" s="98" t="e">
        <f t="shared" si="33"/>
        <v>#REF!</v>
      </c>
      <c r="X166" s="98" t="e">
        <f t="shared" si="32"/>
        <v>#REF!</v>
      </c>
      <c r="Y166" s="98">
        <v>10</v>
      </c>
      <c r="AB166" s="463" t="e">
        <f>IF(AQ141&lt;$BA$141,"The rent subsidy has not been provided for all listed units (input $0 if none)."," ")</f>
        <v>#REF!</v>
      </c>
    </row>
    <row r="167" spans="2:28">
      <c r="U167" s="98" t="e">
        <f t="shared" si="31"/>
        <v>#REF!</v>
      </c>
      <c r="V167" s="98" t="e">
        <f>IF(W167&gt;0,X161+X160+X167+X166+X165+X164+X163+X162+X159+X158+X157,0)</f>
        <v>#REF!</v>
      </c>
      <c r="W167" s="98" t="e">
        <f t="shared" si="33"/>
        <v>#REF!</v>
      </c>
      <c r="X167" s="98" t="e">
        <f t="shared" si="32"/>
        <v>#REF!</v>
      </c>
      <c r="Y167" s="98">
        <v>11</v>
      </c>
      <c r="AB167" s="463" t="e">
        <f>IF(#REF!&gt;#REF!,"The type of subsidy was not provided for all units were a rent subsidy was indicated."," ")</f>
        <v>#REF!</v>
      </c>
    </row>
    <row r="168" spans="2:28">
      <c r="U168" s="98" t="e">
        <f t="shared" si="31"/>
        <v>#REF!</v>
      </c>
      <c r="V168" s="98" t="e">
        <f>IF(W168&gt;0,X162+X161+X168+X167+X166+X165+X164+X163+X160+X159+X158+X157,0)</f>
        <v>#REF!</v>
      </c>
      <c r="W168" s="98" t="e">
        <f t="shared" si="33"/>
        <v>#REF!</v>
      </c>
      <c r="X168" s="98" t="e">
        <f t="shared" si="32"/>
        <v>#REF!</v>
      </c>
      <c r="Y168" s="98">
        <v>12</v>
      </c>
      <c r="AB168" s="463" t="e">
        <f>IF(#REF!&gt;#REF!,"The rent subsidy amount was not indicated for all units where a type of subsidy was provided."," ")</f>
        <v>#REF!</v>
      </c>
    </row>
    <row r="169" spans="2:28">
      <c r="U169" s="98" t="e">
        <f t="shared" si="31"/>
        <v>#REF!</v>
      </c>
      <c r="V169" s="98" t="e">
        <f>IF(W169&gt;0,X163+X162+X169+X168+X167+X166+X165+X164+X161+X160+X159+X158+X157,0)</f>
        <v>#REF!</v>
      </c>
      <c r="W169" s="98" t="e">
        <f t="shared" si="33"/>
        <v>#REF!</v>
      </c>
      <c r="X169" s="98" t="e">
        <f t="shared" si="32"/>
        <v>#REF!</v>
      </c>
      <c r="Y169" s="98">
        <v>13</v>
      </c>
      <c r="AB169" s="463" t="e">
        <f>IF(AS141&lt;$BA$141,"The move-in-date has not been provided for all listed non-vacant units."," ")</f>
        <v>#REF!</v>
      </c>
    </row>
    <row r="170" spans="2:28">
      <c r="U170" s="98" t="e">
        <f t="shared" si="31"/>
        <v>#REF!</v>
      </c>
      <c r="V170" s="98" t="e">
        <f>IF(W170&gt;0,X164+X163+X170+X169+X168+X167+X166+X165+X162+X161+X160+X159+X158+X157,0)</f>
        <v>#REF!</v>
      </c>
      <c r="W170" s="98" t="e">
        <f>IF(X170&gt;0,W169+X170,0)</f>
        <v>#REF!</v>
      </c>
      <c r="X170" s="98" t="e">
        <f>IF(AB170=" ",0,1)</f>
        <v>#REF!</v>
      </c>
      <c r="Y170" s="98">
        <v>14</v>
      </c>
      <c r="AB170" s="463" t="e">
        <f>IF(AT141&lt;$BA$141,"The income at move in has not been provided for all listed non-vacant units."," ")</f>
        <v>#REF!</v>
      </c>
    </row>
    <row r="171" spans="2:28">
      <c r="U171" s="98" t="e">
        <f t="shared" si="31"/>
        <v>#REF!</v>
      </c>
      <c r="V171" s="98" t="e">
        <f>IF(W171&gt;0,X165+X164+X171+X170+X169+X168+X167+X166+X163+X162+X161+X160+X159+X158+X157,0)</f>
        <v>#REF!</v>
      </c>
      <c r="W171" s="98" t="e">
        <f>IF(X171&gt;0,W170+X171,0)</f>
        <v>#REF!</v>
      </c>
      <c r="X171" s="98" t="e">
        <f>IF(AB171=" ",0,1)</f>
        <v>#REF!</v>
      </c>
      <c r="Y171" s="98">
        <v>15</v>
      </c>
      <c r="AB171" s="463" t="e">
        <f>IF(AU141&lt;$BA$141,"The current income has not been provided for all listed non-vacant units."," ")</f>
        <v>#REF!</v>
      </c>
    </row>
    <row r="172" spans="2:28">
      <c r="U172" s="98" t="e">
        <f t="shared" si="31"/>
        <v>#REF!</v>
      </c>
      <c r="V172" s="98" t="e">
        <f>IF(W172&gt;0,X166+X165+X172+X171+X170+X169+X168+X167+X164+X163+X162+X161+X160+X159+X158+X157,0)</f>
        <v>#REF!</v>
      </c>
      <c r="W172" s="98" t="e">
        <f>IF(X172&gt;0,W171+X172,0)</f>
        <v>#REF!</v>
      </c>
      <c r="X172" s="98" t="e">
        <f>IF(AB172=" ",0,1)</f>
        <v>#REF!</v>
      </c>
      <c r="Y172" s="98">
        <v>16</v>
      </c>
      <c r="AB172" s="463" t="e">
        <f>IF(AV141&lt;$BA$141,"Special needs units have not been indicated for all listed non-vacant units."," ")</f>
        <v>#REF!</v>
      </c>
    </row>
    <row r="173" spans="2:28">
      <c r="U173" s="98" t="e">
        <f t="shared" si="31"/>
        <v>#REF!</v>
      </c>
      <c r="V173" s="98" t="e">
        <f>IF(W173&gt;0,X167+X166+X173+X172+X171+X170+X169+X168+X165+X164+X163+X162+X161+X160+X159+X158+X157,0)</f>
        <v>#REF!</v>
      </c>
      <c r="W173" s="98" t="e">
        <f>IF(X173&gt;0,W172+X173,0)</f>
        <v>#REF!</v>
      </c>
      <c r="X173" s="98" t="e">
        <f>IF(AB173=" ",0,1)</f>
        <v>#REF!</v>
      </c>
      <c r="Y173" s="98">
        <v>17</v>
      </c>
      <c r="AB173" s="463" t="e">
        <f>IF(AW141&lt;$BA$141,"Elderly units have not been indicated for all listed non-vacant units."," ")</f>
        <v>#REF!</v>
      </c>
    </row>
    <row r="174" spans="2:28">
      <c r="U174" s="98" t="e">
        <f t="shared" si="31"/>
        <v>#REF!</v>
      </c>
      <c r="V174" s="98" t="e">
        <f>IF(W174&gt;0,X168+X167+X174+X173+X172+X171+X170+X169+X166+X165+X164+X163+X162+X161+X160+X159+X158+X157,0)</f>
        <v>#REF!</v>
      </c>
      <c r="W174" s="98" t="e">
        <f>IF(X174&gt;0,W173+X174,0)</f>
        <v>#REF!</v>
      </c>
      <c r="X174" s="98" t="e">
        <f>IF(AB174=" ",0,1)</f>
        <v>#REF!</v>
      </c>
      <c r="Y174" s="98">
        <v>18</v>
      </c>
      <c r="AB174" s="463" t="e">
        <f>IF(AX141&lt;$BA$141,"Homeless units have not been indicated for all listed non-vacant units."," ")</f>
        <v>#REF!</v>
      </c>
    </row>
    <row r="176" spans="2:28">
      <c r="U176" s="98">
        <f>RANK(V176,$V$176:$V$189)</f>
        <v>1</v>
      </c>
      <c r="V176" s="98">
        <f>IF(W176&gt;0,W176,0)</f>
        <v>0</v>
      </c>
      <c r="W176" s="98">
        <f>X176</f>
        <v>0</v>
      </c>
      <c r="X176" s="98">
        <f>IF(AB176=" ",0,1)</f>
        <v>0</v>
      </c>
      <c r="Y176" s="98">
        <v>1</v>
      </c>
      <c r="AB176" s="463" t="str">
        <f>IF(AND(B150="Sponsor Provided Financing",'G-Sponsor Provided Financing'!F20=""),"A mortgage interest rate has not been indicated"," ")</f>
        <v xml:space="preserve"> </v>
      </c>
    </row>
    <row r="177" spans="19:31">
      <c r="U177" s="98">
        <f t="shared" ref="U177:U189" si="34">RANK(V177,$V$176:$V$189)</f>
        <v>1</v>
      </c>
      <c r="V177" s="98">
        <f>IF(W177&gt;0,X177+X176,0)</f>
        <v>0</v>
      </c>
      <c r="W177" s="98">
        <f>IF(X177&gt;0,W176+X177,0)</f>
        <v>0</v>
      </c>
      <c r="X177" s="98">
        <f>IF(AB177=" ",0,1)</f>
        <v>0</v>
      </c>
      <c r="Y177" s="98">
        <v>2</v>
      </c>
      <c r="AB177" s="463" t="str">
        <f>IF(AND(B150="Sponsor Provided Financing",'G-Sponsor Provided Financing'!M17=""),"Homebuyer downpayment have not been indicated"," ")</f>
        <v xml:space="preserve"> </v>
      </c>
    </row>
    <row r="178" spans="19:31">
      <c r="U178" s="98">
        <f t="shared" si="34"/>
        <v>1</v>
      </c>
      <c r="V178" s="98">
        <f>IF(W178&gt;0,X178+X177+X176,0)</f>
        <v>0</v>
      </c>
      <c r="W178" s="98">
        <f>IF(X178&gt;0,W177+X178,0)</f>
        <v>0</v>
      </c>
      <c r="X178" s="98">
        <f t="shared" ref="X178:X188" si="35">IF(AB178=" ",0,1)</f>
        <v>0</v>
      </c>
      <c r="Y178" s="98">
        <v>3</v>
      </c>
      <c r="AB178" s="463" t="str">
        <f>IF(AND(B150="Sponsor Provided Financing",'G-Sponsor Provided Financing'!M18=""),"Habitat Affiliate's Cash Contribution have not been indicated"," ")</f>
        <v xml:space="preserve"> </v>
      </c>
    </row>
    <row r="179" spans="19:31">
      <c r="S179" s="98">
        <f>SUM(X176:X189)</f>
        <v>0</v>
      </c>
      <c r="T179" s="98">
        <f>MAX(V176:V189)</f>
        <v>0</v>
      </c>
      <c r="U179" s="98">
        <f t="shared" si="34"/>
        <v>1</v>
      </c>
      <c r="V179" s="98">
        <f>IF(W179&gt;0,X179+X178+X177+X176,0)</f>
        <v>0</v>
      </c>
      <c r="W179" s="98">
        <f>IF(X179&gt;0,W178+X179,0)</f>
        <v>0</v>
      </c>
      <c r="X179" s="98">
        <f t="shared" si="35"/>
        <v>0</v>
      </c>
      <c r="Y179" s="98">
        <v>4</v>
      </c>
      <c r="AB179" s="463" t="str">
        <f>IF(AND(B150="Sponsor Provided Financing",'G-Sponsor Provided Financing'!M19=""),"Other cash sources have not been indicated"," ")</f>
        <v xml:space="preserve"> </v>
      </c>
    </row>
    <row r="180" spans="19:31">
      <c r="U180" s="98">
        <f t="shared" si="34"/>
        <v>1</v>
      </c>
      <c r="V180" s="98">
        <f>IF(W180&gt;0,X180+X179+X178+X177+X176,0)</f>
        <v>0</v>
      </c>
      <c r="W180" s="98">
        <f>IF(X180&gt;0,W179+X180,0)</f>
        <v>0</v>
      </c>
      <c r="X180" s="98">
        <f t="shared" si="35"/>
        <v>0</v>
      </c>
      <c r="Y180" s="98">
        <v>5</v>
      </c>
      <c r="AB180" s="463" t="str">
        <f>IF(AND(B150="Sponsor Provided Financing",'G-Sponsor Provided Financing'!M24=""),"Land/acquistion costs have not been indicated"," ")</f>
        <v xml:space="preserve"> </v>
      </c>
    </row>
    <row r="181" spans="19:31">
      <c r="U181" s="98">
        <f t="shared" si="34"/>
        <v>1</v>
      </c>
      <c r="V181" s="98">
        <f>IF(W181&gt;0,X181+X180+X179+X178+X177+X176,0)</f>
        <v>0</v>
      </c>
      <c r="W181" s="98">
        <f t="shared" ref="W181:W188" si="36">IF(X181&gt;0,W180+X181,0)</f>
        <v>0</v>
      </c>
      <c r="X181" s="98">
        <f t="shared" si="35"/>
        <v>0</v>
      </c>
      <c r="Y181" s="98">
        <v>6</v>
      </c>
      <c r="AB181" s="463" t="str">
        <f>IF(AND(B150="Sponsor Provided Financing",'G-Sponsor Provided Financing'!M25=""),"Site work costs have not been indicated"," ")</f>
        <v xml:space="preserve"> </v>
      </c>
    </row>
    <row r="182" spans="19:31">
      <c r="U182" s="98">
        <f t="shared" si="34"/>
        <v>1</v>
      </c>
      <c r="V182" s="98">
        <f>IF(W182&gt;0,X176+X182+X181+X180+X179+X178+X177,0)</f>
        <v>0</v>
      </c>
      <c r="W182" s="98">
        <f t="shared" si="36"/>
        <v>0</v>
      </c>
      <c r="X182" s="98">
        <f t="shared" si="35"/>
        <v>0</v>
      </c>
      <c r="Y182" s="98">
        <v>7</v>
      </c>
      <c r="AB182" s="463" t="str">
        <f>IF(AND(B150="Sponsor Provided Financing",'G-Sponsor Provided Financing'!M26=""),"Construction costs have not been indicated"," ")</f>
        <v xml:space="preserve"> </v>
      </c>
    </row>
    <row r="183" spans="19:31">
      <c r="U183" s="98">
        <f t="shared" si="34"/>
        <v>1</v>
      </c>
      <c r="V183" s="98">
        <f>IF(W183&gt;0,X177+X176+X183+X182+X181+X180+X179+X178,0)</f>
        <v>0</v>
      </c>
      <c r="W183" s="98">
        <f t="shared" si="36"/>
        <v>0</v>
      </c>
      <c r="X183" s="98">
        <f t="shared" si="35"/>
        <v>0</v>
      </c>
      <c r="Y183" s="98">
        <v>8</v>
      </c>
      <c r="AB183" s="463" t="str">
        <f>IF(AND(B150="Sponsor Provided Financing",'G-Sponsor Provided Financing'!M27=""),"Survey/appraisal costs have not been indicated"," ")</f>
        <v xml:space="preserve"> </v>
      </c>
    </row>
    <row r="184" spans="19:31">
      <c r="U184" s="98">
        <f t="shared" si="34"/>
        <v>1</v>
      </c>
      <c r="V184" s="98">
        <f>IF(W184&gt;0,X178+X177+X184+X183+X182+X181+X180+X179+X176,0)</f>
        <v>0</v>
      </c>
      <c r="W184" s="98">
        <f t="shared" si="36"/>
        <v>0</v>
      </c>
      <c r="X184" s="98">
        <f t="shared" si="35"/>
        <v>0</v>
      </c>
      <c r="Y184" s="98">
        <v>9</v>
      </c>
      <c r="AB184" s="463" t="str">
        <f>IF(AND(B150="Sponsor Provided Financing",'G-Sponsor Provided Financing'!M28=""),"Insurance costs have not been indicated"," ")</f>
        <v xml:space="preserve"> </v>
      </c>
    </row>
    <row r="185" spans="19:31">
      <c r="U185" s="98">
        <f t="shared" si="34"/>
        <v>1</v>
      </c>
      <c r="V185" s="98">
        <f>IF(W185&gt;0,X179+X178+X185+X184+X183+X182+X181+X180+X177+X176,0)</f>
        <v>0</v>
      </c>
      <c r="W185" s="98">
        <f t="shared" si="36"/>
        <v>0</v>
      </c>
      <c r="X185" s="98">
        <f t="shared" si="35"/>
        <v>0</v>
      </c>
      <c r="Y185" s="98">
        <v>10</v>
      </c>
      <c r="AB185" s="463" t="str">
        <f>IF(AND(B150="Sponsor Provided Financing",'G-Sponsor Provided Financing'!M29=""),"Developer fee has not been indicated"," ")</f>
        <v xml:space="preserve"> </v>
      </c>
    </row>
    <row r="186" spans="19:31">
      <c r="U186" s="98">
        <f t="shared" si="34"/>
        <v>1</v>
      </c>
      <c r="V186" s="98">
        <f>IF(W186&gt;0,X180+X179+X186+X185+X184+X183+X182+X181+X178+X177+X176,0)</f>
        <v>0</v>
      </c>
      <c r="W186" s="98">
        <f t="shared" si="36"/>
        <v>0</v>
      </c>
      <c r="X186" s="98">
        <f t="shared" si="35"/>
        <v>0</v>
      </c>
      <c r="Y186" s="98">
        <v>11</v>
      </c>
      <c r="AB186" s="463" t="str">
        <f>IF(AND(B150="Sponsor Provided Financing",'G-Sponsor Provided Financing'!M30=""),"Other fees have not been indicated"," ")</f>
        <v xml:space="preserve"> </v>
      </c>
    </row>
    <row r="187" spans="19:31">
      <c r="U187" s="98">
        <f t="shared" si="34"/>
        <v>1</v>
      </c>
      <c r="V187" s="98">
        <f>IF(W187&gt;0,X181+X180+X187+X186+X185+X184+X183+X182+X179+X178+X177+X176,0)</f>
        <v>0</v>
      </c>
      <c r="W187" s="98">
        <f t="shared" si="36"/>
        <v>0</v>
      </c>
      <c r="X187" s="98">
        <f t="shared" si="35"/>
        <v>0</v>
      </c>
      <c r="Y187" s="98">
        <v>12</v>
      </c>
      <c r="AB187" s="463" t="str">
        <f>IF(AC187&lt;&gt;AE187,"Uses indicated on the Sponor Provided Financing Worksheet does not equal total uses indicated on the Uses Statement."," ")</f>
        <v xml:space="preserve"> </v>
      </c>
      <c r="AC187" s="97">
        <f>'G-Sponsor Provided Financing'!$M$31</f>
        <v>0</v>
      </c>
      <c r="AE187" s="97">
        <f>'A(2)-Uses Statement'!$M$81</f>
        <v>0</v>
      </c>
    </row>
    <row r="188" spans="19:31">
      <c r="U188" s="98">
        <f t="shared" si="34"/>
        <v>1</v>
      </c>
      <c r="V188" s="98">
        <f>IF(W188&gt;0,X182+X181+X188+X187+X186+X185+X184+X183+X180+X179+X178+X177+X176,0)</f>
        <v>0</v>
      </c>
      <c r="W188" s="98">
        <f t="shared" si="36"/>
        <v>0</v>
      </c>
      <c r="X188" s="98">
        <f t="shared" si="35"/>
        <v>0</v>
      </c>
      <c r="Y188" s="98">
        <v>13</v>
      </c>
      <c r="AB188" s="463" t="str">
        <f>IF(AC188&lt;&gt;AE188,"Total sources indicated on the Sponor Provided Financing Worksheet does not equal total sources indicated on the Sources Statement."," ")</f>
        <v xml:space="preserve"> </v>
      </c>
      <c r="AC188" s="97">
        <f>'G-Sponsor Provided Financing'!$M$35</f>
        <v>0</v>
      </c>
      <c r="AE188" s="470">
        <f>'A(1)-Sources Stmt.'!$F$50</f>
        <v>0</v>
      </c>
    </row>
    <row r="189" spans="19:31">
      <c r="U189" s="98">
        <f t="shared" si="34"/>
        <v>1</v>
      </c>
      <c r="V189" s="98">
        <f>IF(W189&gt;0,X183+X182+X189+X188+X187+X186+X185+X184+X181+X180+X179+X178+X177+X176,0)</f>
        <v>0</v>
      </c>
      <c r="W189" s="98">
        <f>IF(X189&gt;0,W188+X189,0)</f>
        <v>0</v>
      </c>
      <c r="X189" s="98">
        <f>IF(AB189=" ",0,1)</f>
        <v>0</v>
      </c>
      <c r="Y189" s="98">
        <v>14</v>
      </c>
      <c r="AB189" s="463" t="str">
        <f>IF(AC189&lt;&gt;AE189,"The funding gap (AHP Subsidy Requested) on the Sponor Provided Financing Worksheet does not equal the AHP subsidy amount indicated on the Sources Statement."," ")</f>
        <v xml:space="preserve"> </v>
      </c>
      <c r="AC189" s="99">
        <f>'G-Sponsor Provided Financing'!$M$33</f>
        <v>0</v>
      </c>
      <c r="AD189" s="99"/>
      <c r="AE189" s="471">
        <f>'A(1)-Sources Stmt.'!$F$34</f>
        <v>0</v>
      </c>
    </row>
    <row r="190" spans="19:31">
      <c r="AB190" s="168"/>
      <c r="AC190" s="168"/>
      <c r="AD190" s="168"/>
      <c r="AE190" s="168"/>
    </row>
    <row r="191" spans="19:31">
      <c r="AB191" s="168"/>
      <c r="AC191" s="168"/>
      <c r="AD191" s="168"/>
      <c r="AE191" s="168"/>
    </row>
    <row r="192" spans="19:31">
      <c r="AC192" s="99"/>
      <c r="AD192" s="99"/>
      <c r="AE192" s="168"/>
    </row>
    <row r="193" spans="31:31">
      <c r="AE193" s="168"/>
    </row>
    <row r="194" spans="31:31">
      <c r="AE194" s="168"/>
    </row>
    <row r="195" spans="31:31">
      <c r="AE195" s="168"/>
    </row>
    <row r="196" spans="31:31">
      <c r="AE196" s="168"/>
    </row>
    <row r="197" spans="31:31">
      <c r="AE197" s="99"/>
    </row>
  </sheetData>
  <sheetProtection selectLockedCells="1"/>
  <mergeCells count="145">
    <mergeCell ref="B82:M82"/>
    <mergeCell ref="B63:M63"/>
    <mergeCell ref="B101:M101"/>
    <mergeCell ref="B130:M130"/>
    <mergeCell ref="B146:M146"/>
    <mergeCell ref="B147:M147"/>
    <mergeCell ref="B148:M148"/>
    <mergeCell ref="B134:M134"/>
    <mergeCell ref="B133:M133"/>
    <mergeCell ref="B144:M144"/>
    <mergeCell ref="B143:M143"/>
    <mergeCell ref="B142:M142"/>
    <mergeCell ref="B141:M141"/>
    <mergeCell ref="B140:M140"/>
    <mergeCell ref="B139:M139"/>
    <mergeCell ref="B132:M132"/>
    <mergeCell ref="B131:M131"/>
    <mergeCell ref="B145:M145"/>
    <mergeCell ref="B105:M105"/>
    <mergeCell ref="B104:M104"/>
    <mergeCell ref="B103:M103"/>
    <mergeCell ref="B102:M102"/>
    <mergeCell ref="B111:M111"/>
    <mergeCell ref="B110:M110"/>
    <mergeCell ref="B161:M161"/>
    <mergeCell ref="B162:M162"/>
    <mergeCell ref="B163:M163"/>
    <mergeCell ref="B164:M164"/>
    <mergeCell ref="B150:M150"/>
    <mergeCell ref="B151:M151"/>
    <mergeCell ref="B152:M152"/>
    <mergeCell ref="B153:M153"/>
    <mergeCell ref="B154:M154"/>
    <mergeCell ref="B155:M155"/>
    <mergeCell ref="B156:M156"/>
    <mergeCell ref="B157:M157"/>
    <mergeCell ref="B158:M158"/>
    <mergeCell ref="B159:M159"/>
    <mergeCell ref="B160:M160"/>
    <mergeCell ref="B109:M109"/>
    <mergeCell ref="B108:M108"/>
    <mergeCell ref="B107:M107"/>
    <mergeCell ref="B106:M106"/>
    <mergeCell ref="B117:M117"/>
    <mergeCell ref="B116:M116"/>
    <mergeCell ref="B115:M115"/>
    <mergeCell ref="B114:M114"/>
    <mergeCell ref="B113:M113"/>
    <mergeCell ref="B112:M112"/>
    <mergeCell ref="B138:M138"/>
    <mergeCell ref="B137:M137"/>
    <mergeCell ref="B136:M136"/>
    <mergeCell ref="B135:M135"/>
    <mergeCell ref="B118:M118"/>
    <mergeCell ref="B119:M119"/>
    <mergeCell ref="B120:M120"/>
    <mergeCell ref="B121:M121"/>
    <mergeCell ref="B122:M122"/>
    <mergeCell ref="B126:M126"/>
    <mergeCell ref="B88:M88"/>
    <mergeCell ref="B48:M48"/>
    <mergeCell ref="B128:M128"/>
    <mergeCell ref="B127:M127"/>
    <mergeCell ref="B125:M125"/>
    <mergeCell ref="B124:M124"/>
    <mergeCell ref="B123:M123"/>
    <mergeCell ref="B95:M95"/>
    <mergeCell ref="B96:M96"/>
    <mergeCell ref="B97:M97"/>
    <mergeCell ref="B98:M98"/>
    <mergeCell ref="B99:M99"/>
    <mergeCell ref="B83:M83"/>
    <mergeCell ref="B84:M84"/>
    <mergeCell ref="B85:M85"/>
    <mergeCell ref="B86:M86"/>
    <mergeCell ref="B87:M87"/>
    <mergeCell ref="B89:M89"/>
    <mergeCell ref="B90:M90"/>
    <mergeCell ref="B91:M91"/>
    <mergeCell ref="B92:M92"/>
    <mergeCell ref="B93:M93"/>
    <mergeCell ref="B94:M94"/>
    <mergeCell ref="B68:M68"/>
    <mergeCell ref="B67:M67"/>
    <mergeCell ref="B66:M66"/>
    <mergeCell ref="B65:M65"/>
    <mergeCell ref="B64:M64"/>
    <mergeCell ref="B37:M37"/>
    <mergeCell ref="B38:M38"/>
    <mergeCell ref="B39:M39"/>
    <mergeCell ref="B40:M40"/>
    <mergeCell ref="B52:M52"/>
    <mergeCell ref="B53:M53"/>
    <mergeCell ref="B54:M54"/>
    <mergeCell ref="B55:M55"/>
    <mergeCell ref="B60:M60"/>
    <mergeCell ref="B58:M58"/>
    <mergeCell ref="B46:M46"/>
    <mergeCell ref="B49:M49"/>
    <mergeCell ref="B50:M50"/>
    <mergeCell ref="B45:L45"/>
    <mergeCell ref="B56:M56"/>
    <mergeCell ref="B57:M57"/>
    <mergeCell ref="B51:M51"/>
    <mergeCell ref="B59:M59"/>
    <mergeCell ref="B74:M74"/>
    <mergeCell ref="B73:M73"/>
    <mergeCell ref="B72:M72"/>
    <mergeCell ref="B71:M71"/>
    <mergeCell ref="B70:M70"/>
    <mergeCell ref="B69:M69"/>
    <mergeCell ref="B80:M80"/>
    <mergeCell ref="B79:M79"/>
    <mergeCell ref="B78:M78"/>
    <mergeCell ref="B77:M77"/>
    <mergeCell ref="B76:M76"/>
    <mergeCell ref="B75:M75"/>
    <mergeCell ref="B36:M36"/>
    <mergeCell ref="B35:M35"/>
    <mergeCell ref="B34:M34"/>
    <mergeCell ref="B33:M33"/>
    <mergeCell ref="B32:M32"/>
    <mergeCell ref="B43:M43"/>
    <mergeCell ref="B42:M42"/>
    <mergeCell ref="B41:M41"/>
    <mergeCell ref="B29:E29"/>
    <mergeCell ref="D1:M1"/>
    <mergeCell ref="J2:M2"/>
    <mergeCell ref="B27:M27"/>
    <mergeCell ref="B24:M24"/>
    <mergeCell ref="B23:M23"/>
    <mergeCell ref="B22:M22"/>
    <mergeCell ref="B31:M31"/>
    <mergeCell ref="B30:M30"/>
    <mergeCell ref="B12:M14"/>
    <mergeCell ref="B18:M18"/>
    <mergeCell ref="B17:M17"/>
    <mergeCell ref="M8:M9"/>
    <mergeCell ref="B7:M7"/>
    <mergeCell ref="B16:F16"/>
    <mergeCell ref="B21:M21"/>
    <mergeCell ref="B20:M20"/>
    <mergeCell ref="B19:M19"/>
    <mergeCell ref="B25:M25"/>
    <mergeCell ref="B26:M26"/>
  </mergeCells>
  <conditionalFormatting sqref="AB190:AE191 AE192:AE196">
    <cfRule type="expression" dxfId="64" priority="9">
      <formula>AF190=""</formula>
    </cfRule>
  </conditionalFormatting>
  <conditionalFormatting sqref="B7:M7">
    <cfRule type="expression" dxfId="63" priority="1">
      <formula>$B$7="Input the project name and AHP Project Number at the top of the 'Instructions' tab."</formula>
    </cfRule>
  </conditionalFormatting>
  <conditionalFormatting sqref="B49:M60">
    <cfRule type="expression" dxfId="62" priority="927">
      <formula>$B49=0</formula>
    </cfRule>
  </conditionalFormatting>
  <dataValidations count="1">
    <dataValidation type="custom" allowBlank="1" showInputMessage="1" showErrorMessage="1" sqref="B8:M9">
      <formula1>"&lt;0&gt;0"</formula1>
    </dataValidation>
  </dataValidations>
  <hyperlinks>
    <hyperlink ref="E9" location="'A(3)-Sources and Uses Summary'!A1" display="'A(3)-Sources and Uses Summary'!A1"/>
    <hyperlink ref="D9" location="'A(2)-Uses Statement'!A1" display="'A(2)-Uses Statement'!A1"/>
    <hyperlink ref="C9" location="'A(1)-Sources Stmt.'!A1" display="'A(1)-Sources Stmt.'!A1"/>
    <hyperlink ref="J9" location="'E-Feasibility Analysis'!A1" display="'E-Feasibility Analysis'!A1"/>
    <hyperlink ref="G9" location="'C(1)-Rental Operating ProForma'!A1" display="'C(1)-Rental Operating ProForma'!A1"/>
    <hyperlink ref="I9" location="'D-Owner-Occ Housing Expense'!A1" display="'D-Owner-Occ Housing Expense'!A1"/>
    <hyperlink ref="H9" location="'C(2)-Commercial ProForma'!A1" display="'C(2)-Commercial ProForma'!A1"/>
    <hyperlink ref="L9" location="'G-Sponsor Provided Financing'!A1" display="'G-Sponsor Provided Financing'!A1"/>
    <hyperlink ref="K9" location="'F-TIV'!A1" display="'F-TIV'!A1"/>
    <hyperlink ref="F9" location="'B-Rent Schedule'!A1" display="'B-Rent Schedule'!A1"/>
    <hyperlink ref="B9" location="'Project Info and Instructions'!A1" display="Project Info. &amp; Instructions"/>
  </hyperlinks>
  <pageMargins left="0.7" right="0.7" top="0.75" bottom="0.75" header="0.3" footer="0.3"/>
  <pageSetup scale="52" orientation="portrait" r:id="rId1"/>
  <rowBreaks count="1" manualBreakCount="1">
    <brk id="81" max="11" man="1"/>
  </rowBreaks>
  <colBreaks count="1" manualBreakCount="1">
    <brk id="13" min="3" max="148" man="1"/>
  </colBreaks>
  <drawing r:id="rId2"/>
  <extLst>
    <ext xmlns:x14="http://schemas.microsoft.com/office/spreadsheetml/2009/9/main" uri="{78C0D931-6437-407d-A8EE-F0AAD7539E65}">
      <x14:conditionalFormattings>
        <x14:conditionalFormatting xmlns:xm="http://schemas.microsoft.com/office/excel/2006/main">
          <x14:cfRule type="expression" priority="1349" id="{AAD44953-D6E1-4EB8-9A38-EABE6C2C7519}">
            <xm:f>'Project Info and Instructions'!$F$20="Owner-occupied"</xm:f>
            <x14:dxf>
              <font>
                <color theme="0"/>
              </font>
            </x14:dxf>
          </x14:cfRule>
          <xm:sqref>B83:M99 B64:M80 B131:M148</xm:sqref>
        </x14:conditionalFormatting>
        <x14:conditionalFormatting xmlns:xm="http://schemas.microsoft.com/office/excel/2006/main">
          <x14:cfRule type="expression" priority="1352" id="{15B68851-F8A7-427E-84A7-A0D06C876495}">
            <xm:f>'Project Info and Instructions'!$F$20="Owner-occupied"</xm:f>
            <x14:dxf>
              <font>
                <strike/>
                <color theme="0" tint="-0.34998626667073579"/>
              </font>
              <fill>
                <gradientFill degree="90">
                  <stop position="0">
                    <color theme="0" tint="-0.1490218817712943"/>
                  </stop>
                  <stop position="1">
                    <color theme="0" tint="-0.1490218817712943"/>
                  </stop>
                </gradientFill>
              </fill>
            </x14:dxf>
          </x14:cfRule>
          <xm:sqref>G9</xm:sqref>
        </x14:conditionalFormatting>
        <x14:conditionalFormatting xmlns:xm="http://schemas.microsoft.com/office/excel/2006/main">
          <x14:cfRule type="expression" priority="1353" id="{83DA75B6-B6BB-43BD-92F1-4BD90211C047}">
            <xm:f>'Project Info and Instructions'!$F$20="Rental"</xm:f>
            <x14:dxf>
              <font>
                <strike/>
                <color theme="0" tint="-0.34998626667073579"/>
              </font>
              <fill>
                <patternFill>
                  <bgColor theme="0" tint="-0.14996795556505021"/>
                </patternFill>
              </fill>
            </x14:dxf>
          </x14:cfRule>
          <xm:sqref>I9</xm:sqref>
        </x14:conditionalFormatting>
        <x14:conditionalFormatting xmlns:xm="http://schemas.microsoft.com/office/excel/2006/main">
          <x14:cfRule type="expression" priority="1354" id="{B2F67F58-8F36-4BEF-8779-E64A97985F97}">
            <xm:f>'Project Info and Instructions'!$K$20="No"</xm:f>
            <x14:dxf>
              <font>
                <strike/>
                <color theme="0" tint="-0.34998626667073579"/>
              </font>
              <fill>
                <patternFill>
                  <bgColor theme="0" tint="-0.14996795556505021"/>
                </patternFill>
              </fill>
            </x14:dxf>
          </x14:cfRule>
          <x14:cfRule type="expression" priority="1355" id="{8B7A9223-A261-4564-A6A9-8DF9B53CB193}">
            <xm:f>'Project Info and Instructions'!$F$20="Rental"</xm:f>
            <x14:dxf>
              <font>
                <strike/>
                <color theme="0" tint="-0.34998626667073579"/>
              </font>
              <fill>
                <patternFill>
                  <bgColor theme="0" tint="-0.14996795556505021"/>
                </patternFill>
              </fill>
            </x14:dxf>
          </x14:cfRule>
          <xm:sqref>L9</xm:sqref>
        </x14:conditionalFormatting>
        <x14:conditionalFormatting xmlns:xm="http://schemas.microsoft.com/office/excel/2006/main">
          <x14:cfRule type="expression" priority="1356" id="{BCDEF070-2E9F-4195-B372-6764855C5867}">
            <xm:f>'Project Info and Instructions'!$F$22:$H$22&lt;&gt;"Yes"</xm:f>
            <x14:dxf>
              <font>
                <color theme="0"/>
              </font>
            </x14:dxf>
          </x14:cfRule>
          <xm:sqref>B83:M99</xm:sqref>
        </x14:conditionalFormatting>
        <x14:conditionalFormatting xmlns:xm="http://schemas.microsoft.com/office/excel/2006/main">
          <x14:cfRule type="expression" priority="1357" id="{7C108DAB-0C1E-4F05-ACFC-9584D5E9B284}">
            <xm:f>'Project Info and Instructions'!$F$22="No"</xm:f>
            <x14:dxf>
              <font>
                <strike/>
                <color theme="0" tint="-0.34998626667073579"/>
              </font>
              <fill>
                <patternFill>
                  <bgColor theme="0" tint="-0.14996795556505021"/>
                </patternFill>
              </fill>
            </x14:dxf>
          </x14:cfRule>
          <x14:cfRule type="expression" priority="1358" id="{3671F543-65F3-40F2-94A5-4CBC4360C7D2}">
            <xm:f>'Project Info and Instructions'!$F$20="Owner-occupied"</xm:f>
            <x14:dxf>
              <font>
                <strike/>
                <color theme="0" tint="-0.34998626667073579"/>
              </font>
              <fill>
                <patternFill>
                  <bgColor theme="0" tint="-0.14996795556505021"/>
                </patternFill>
              </fill>
            </x14:dxf>
          </x14:cfRule>
          <xm:sqref>H9</xm:sqref>
        </x14:conditionalFormatting>
        <x14:conditionalFormatting xmlns:xm="http://schemas.microsoft.com/office/excel/2006/main">
          <x14:cfRule type="expression" priority="1359" id="{F7D0EC87-0707-44C1-931F-AE70C6C71E44}">
            <xm:f>'Project Info and Instructions'!$M$22="Acquisition"</xm:f>
            <x14:dxf>
              <font>
                <strike/>
                <color theme="0" tint="-0.34998626667073579"/>
              </font>
              <fill>
                <patternFill>
                  <bgColor theme="0" tint="-0.14996795556505021"/>
                </patternFill>
              </fill>
            </x14:dxf>
          </x14:cfRule>
          <x14:cfRule type="expression" priority="1360" id="{57114165-1A71-4E73-9606-3CE18AD6D358}">
            <xm:f>'Project Info and Instructions'!$M$22="Construction"</xm:f>
            <x14:dxf>
              <font>
                <strike/>
                <color theme="0" tint="-0.34998626667073579"/>
              </font>
              <fill>
                <patternFill>
                  <bgColor theme="0" tint="-0.14996795556505021"/>
                </patternFill>
              </fill>
            </x14:dxf>
          </x14:cfRule>
          <x14:cfRule type="expression" priority="1361" id="{870E80A7-D742-4A43-A241-44E7F8BE5176}">
            <xm:f>'Project Info and Instructions'!$F$20="Owner-occupied"</xm:f>
            <x14:dxf>
              <font>
                <strike/>
                <color theme="0" tint="-0.34998626667073579"/>
              </font>
              <fill>
                <patternFill>
                  <bgColor theme="0" tint="-0.14996795556505021"/>
                </patternFill>
              </fill>
            </x14:dxf>
          </x14:cfRule>
          <x14:cfRule type="expression" priority="1362" id="{38AE080D-B37D-4165-89F7-427B75991DED}">
            <xm:f>'Project Info and Instructions'!$Q$22="No"</xm:f>
            <x14:dxf>
              <font>
                <strike/>
                <color theme="0" tint="-0.34998626667073579"/>
              </font>
              <fill>
                <patternFill>
                  <bgColor theme="0" tint="-0.14996795556505021"/>
                </patternFill>
              </fill>
            </x14:dxf>
          </x14:cfRule>
          <xm:sqref>K9</xm:sqref>
        </x14:conditionalFormatting>
        <x14:conditionalFormatting xmlns:xm="http://schemas.microsoft.com/office/excel/2006/main">
          <x14:cfRule type="expression" priority="1621" id="{D23CAE46-8BF8-46B0-B003-030FB7B75A56}">
            <xm:f>'Project Info and Instructions'!$V$50&gt;6</xm:f>
            <x14:dxf>
              <font>
                <strike/>
                <color theme="0" tint="-0.34998626667073579"/>
              </font>
              <fill>
                <gradientFill degree="90">
                  <stop position="0">
                    <color theme="0" tint="-0.1490218817712943"/>
                  </stop>
                  <stop position="1">
                    <color theme="0" tint="-0.1490218817712943"/>
                  </stop>
                </gradientFill>
              </fill>
            </x14:dxf>
          </x14:cfRule>
          <xm:sqref>F9</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AD226"/>
  <sheetViews>
    <sheetView showGridLines="0" zoomScale="90" zoomScaleNormal="90" workbookViewId="0">
      <selection activeCell="O17" sqref="O17:Q17"/>
    </sheetView>
  </sheetViews>
  <sheetFormatPr defaultColWidth="9.140625" defaultRowHeight="12.75"/>
  <cols>
    <col min="1" max="1" width="1.140625" style="15" customWidth="1"/>
    <col min="2" max="2" width="3.5703125" style="15" customWidth="1"/>
    <col min="3" max="3" width="9.28515625" style="15" bestFit="1" customWidth="1"/>
    <col min="4" max="17" width="12.85546875" style="15" customWidth="1"/>
    <col min="18" max="18" width="10.7109375" style="15" customWidth="1"/>
    <col min="19" max="19" width="10.85546875" style="15" customWidth="1"/>
    <col min="20" max="20" width="12.28515625" style="15" hidden="1" customWidth="1"/>
    <col min="21" max="25" width="9.140625" style="15" hidden="1" customWidth="1"/>
    <col min="26" max="26" width="32.140625" style="15" hidden="1" customWidth="1"/>
    <col min="27" max="27" width="9.140625" style="15" hidden="1" customWidth="1"/>
    <col min="28" max="28" width="28.28515625" style="15" hidden="1" customWidth="1"/>
    <col min="29" max="30" width="9.140625" style="15" hidden="1" customWidth="1"/>
    <col min="31" max="84" width="9.140625" style="15" customWidth="1"/>
    <col min="85" max="16384" width="9.140625" style="15"/>
  </cols>
  <sheetData>
    <row r="1" spans="2:27" ht="15" customHeight="1">
      <c r="L1" s="2426" t="s">
        <v>1196</v>
      </c>
      <c r="M1" s="2426"/>
      <c r="N1" s="2426"/>
      <c r="O1" s="2426"/>
      <c r="P1" s="2426"/>
      <c r="Q1" s="2426"/>
      <c r="R1" s="2426"/>
      <c r="S1" s="2426"/>
    </row>
    <row r="2" spans="2:27" ht="13.5" customHeight="1">
      <c r="P2" s="1833" t="str">
        <f>'Project Info and Instructions'!O2</f>
        <v>Updated January 2018</v>
      </c>
      <c r="Q2" s="1833"/>
      <c r="R2" s="1833"/>
      <c r="S2" s="1833"/>
    </row>
    <row r="3" spans="2:27" ht="6.75" customHeight="1">
      <c r="B3" s="7"/>
      <c r="C3" s="7"/>
      <c r="D3" s="7"/>
      <c r="E3" s="7"/>
      <c r="F3" s="7"/>
      <c r="G3" s="7"/>
      <c r="H3" s="7"/>
      <c r="I3" s="7"/>
      <c r="J3" s="7"/>
      <c r="K3" s="7"/>
      <c r="L3" s="7"/>
      <c r="M3" s="7"/>
      <c r="N3" s="7"/>
      <c r="O3" s="7"/>
      <c r="P3" s="7"/>
      <c r="Q3" s="7"/>
      <c r="R3" s="2429"/>
      <c r="S3" s="2429"/>
      <c r="T3" s="7"/>
      <c r="U3" s="7"/>
      <c r="V3" s="7"/>
      <c r="W3" s="7"/>
      <c r="X3" s="7"/>
      <c r="Y3" s="7"/>
      <c r="Z3" s="7"/>
    </row>
    <row r="4" spans="2:27" s="449" customFormat="1" ht="15" customHeight="1">
      <c r="B4" s="450"/>
      <c r="C4" s="1425"/>
      <c r="D4" s="1424"/>
      <c r="E4" s="1424"/>
      <c r="H4" s="2016" t="str">
        <f>IF('Project Info and Instructions'!W35&gt;0,"Input the project name and AHP Project Number at the top of the 'Instructions' tab.",'Project Info and Instructions'!F18&amp;" - "&amp;'Project Info and Instructions'!F16)</f>
        <v>Input the project name and AHP Project Number at the top of the 'Instructions' tab.</v>
      </c>
      <c r="I4" s="2016"/>
      <c r="J4" s="2016"/>
      <c r="K4" s="2016"/>
      <c r="L4" s="2016"/>
      <c r="M4" s="2016"/>
      <c r="N4" s="2016"/>
      <c r="O4" s="2016"/>
      <c r="P4" s="2016"/>
      <c r="Q4" s="2016"/>
      <c r="R4" s="2016"/>
      <c r="S4" s="2016"/>
      <c r="T4" s="1423"/>
      <c r="U4" s="450"/>
      <c r="V4" s="450"/>
      <c r="W4" s="450"/>
      <c r="X4" s="450"/>
      <c r="Y4" s="450"/>
      <c r="Z4" s="450"/>
    </row>
    <row r="5" spans="2:27" s="956" customFormat="1" ht="7.5" customHeight="1">
      <c r="I5" s="15"/>
      <c r="J5" s="15"/>
      <c r="K5" s="15"/>
      <c r="L5" s="1420"/>
      <c r="M5" s="359"/>
      <c r="N5" s="1420"/>
      <c r="O5" s="1420"/>
      <c r="P5" s="1420"/>
      <c r="Q5" s="359"/>
      <c r="R5" s="1417"/>
      <c r="T5" s="955"/>
      <c r="U5" s="955"/>
      <c r="V5" s="955"/>
      <c r="W5" s="955"/>
    </row>
    <row r="6" spans="2:27" s="956" customFormat="1" ht="30.75" customHeight="1">
      <c r="C6" s="1176"/>
      <c r="D6" s="1176"/>
      <c r="E6" s="1176"/>
      <c r="F6" s="1176"/>
      <c r="G6" s="1176"/>
      <c r="H6" s="1176"/>
      <c r="I6" s="1176"/>
      <c r="J6" s="1176"/>
      <c r="K6" s="1176"/>
      <c r="L6" s="1176"/>
      <c r="M6" s="1176"/>
      <c r="T6" s="955"/>
      <c r="U6" s="955"/>
      <c r="V6" s="955"/>
      <c r="W6" s="955"/>
    </row>
    <row r="7" spans="2:27" s="956" customFormat="1" ht="7.5" customHeight="1">
      <c r="R7" s="955"/>
      <c r="S7" s="955"/>
      <c r="T7" s="955"/>
      <c r="U7" s="955"/>
      <c r="V7" s="955"/>
      <c r="W7" s="955"/>
    </row>
    <row r="8" spans="2:27" s="956" customFormat="1" ht="3.75" customHeight="1">
      <c r="B8" s="359"/>
      <c r="C8" s="284"/>
      <c r="D8" s="284"/>
      <c r="E8" s="284"/>
      <c r="F8" s="7"/>
      <c r="G8" s="7"/>
      <c r="H8" s="7"/>
      <c r="I8" s="7"/>
      <c r="K8" s="1792" t="s">
        <v>853</v>
      </c>
      <c r="L8" s="1793"/>
      <c r="S8" s="7"/>
      <c r="T8" s="7"/>
      <c r="U8" s="955"/>
      <c r="V8" s="955"/>
      <c r="W8" s="955"/>
    </row>
    <row r="9" spans="2:27" s="1388" customFormat="1" ht="36.75" customHeight="1">
      <c r="B9" s="1824" t="s">
        <v>937</v>
      </c>
      <c r="C9" s="1824"/>
      <c r="D9" s="1385" t="s">
        <v>838</v>
      </c>
      <c r="E9" s="1385" t="s">
        <v>832</v>
      </c>
      <c r="F9" s="1299" t="s">
        <v>833</v>
      </c>
      <c r="G9" s="1299" t="s">
        <v>852</v>
      </c>
      <c r="H9" s="1385" t="s">
        <v>834</v>
      </c>
      <c r="I9" s="1385" t="s">
        <v>44</v>
      </c>
      <c r="J9" s="1385" t="s">
        <v>1171</v>
      </c>
      <c r="K9" s="1794"/>
      <c r="L9" s="1795"/>
      <c r="M9" s="1386" t="s">
        <v>855</v>
      </c>
      <c r="P9" s="78"/>
      <c r="R9" s="74"/>
      <c r="S9" s="74"/>
      <c r="T9" s="1422"/>
      <c r="U9" s="1387"/>
      <c r="V9" s="1387"/>
      <c r="W9" s="1387"/>
    </row>
    <row r="10" spans="2:27" s="956" customFormat="1" ht="3" customHeight="1">
      <c r="B10" s="360"/>
      <c r="C10" s="149"/>
      <c r="D10" s="149"/>
      <c r="E10" s="149"/>
      <c r="F10" s="149"/>
      <c r="G10" s="149"/>
      <c r="H10" s="149"/>
      <c r="I10" s="149"/>
      <c r="J10" s="149"/>
      <c r="K10" s="2427"/>
      <c r="L10" s="2428"/>
      <c r="M10" s="1421"/>
      <c r="N10" s="1421"/>
      <c r="O10" s="1421"/>
      <c r="P10" s="1421"/>
      <c r="Q10" s="1421"/>
      <c r="R10" s="1421"/>
      <c r="S10" s="1421"/>
      <c r="T10" s="152"/>
      <c r="U10" s="955"/>
      <c r="V10" s="955"/>
      <c r="W10" s="955"/>
    </row>
    <row r="11" spans="2:27" s="956" customFormat="1" ht="6.75" customHeight="1">
      <c r="B11" s="1420"/>
      <c r="C11" s="1419"/>
      <c r="D11" s="101"/>
      <c r="E11" s="101"/>
      <c r="F11" s="101"/>
      <c r="G11" s="101"/>
      <c r="H11" s="101"/>
      <c r="I11" s="172"/>
      <c r="J11" s="172"/>
      <c r="K11" s="172"/>
      <c r="L11" s="172"/>
      <c r="M11" s="172"/>
      <c r="N11" s="10"/>
      <c r="O11" s="10"/>
      <c r="P11" s="10"/>
      <c r="Q11" s="10"/>
      <c r="R11" s="10"/>
      <c r="S11" s="955"/>
      <c r="T11" s="955"/>
      <c r="U11" s="955"/>
      <c r="V11" s="955"/>
      <c r="W11" s="955"/>
      <c r="X11" s="955"/>
    </row>
    <row r="12" spans="2:27" s="956" customFormat="1" ht="14.25" customHeight="1">
      <c r="B12" s="1417"/>
      <c r="C12" s="1418" t="s">
        <v>807</v>
      </c>
      <c r="D12" s="2441" t="str">
        <f>IF(AND(AA13&lt;&gt;"Not Listed",AA13&lt;&gt;"Select a State"),AA13,AA17)</f>
        <v/>
      </c>
      <c r="E12" s="2443"/>
      <c r="R12" s="955"/>
      <c r="S12" s="955"/>
      <c r="T12" s="1415" t="s">
        <v>1195</v>
      </c>
      <c r="U12" s="894" t="str">
        <f>IFERROR('B-Rent Schedule'!R15*2,"")</f>
        <v/>
      </c>
      <c r="V12" s="955"/>
      <c r="W12" s="955"/>
      <c r="X12" s="955"/>
    </row>
    <row r="13" spans="2:27" s="956" customFormat="1" ht="14.25" customHeight="1">
      <c r="B13" s="1417"/>
      <c r="C13" s="1416" t="s">
        <v>806</v>
      </c>
      <c r="D13" s="2441" t="str">
        <f>IF(AND(AA13&lt;&gt;"Not Listed",AA13&lt;&gt;"Select a State"),AA15,AA18)</f>
        <v/>
      </c>
      <c r="E13" s="2442"/>
      <c r="F13" s="2443"/>
      <c r="R13" s="955"/>
      <c r="S13" s="955"/>
      <c r="T13" s="1415" t="s">
        <v>1194</v>
      </c>
      <c r="U13" s="956" t="str">
        <f>IFERROR('B-Rent Schedule'!S15*2,"")</f>
        <v/>
      </c>
      <c r="W13" s="955">
        <f>Q23+1</f>
        <v>1</v>
      </c>
      <c r="X13" s="955" t="str">
        <f>'B-Rent Schedule'!V13</f>
        <v/>
      </c>
      <c r="Z13" s="974" t="s">
        <v>1193</v>
      </c>
      <c r="AA13" s="894" t="str">
        <f>IF('B-Rent Schedule'!$D$13&lt;&gt;"",'B-Rent Schedule'!$D$13,"")</f>
        <v/>
      </c>
    </row>
    <row r="14" spans="2:27" s="956" customFormat="1" ht="4.5" customHeight="1">
      <c r="B14" s="955"/>
      <c r="N14" s="361"/>
      <c r="O14" s="361"/>
      <c r="P14" s="361"/>
      <c r="Q14" s="361"/>
      <c r="R14" s="361"/>
      <c r="S14" s="955"/>
      <c r="T14" s="955"/>
      <c r="U14" s="955"/>
      <c r="W14" s="955"/>
      <c r="X14" s="956" t="str">
        <f>'B-Rent Schedule'!V14</f>
        <v xml:space="preserve">, </v>
      </c>
      <c r="AA14" s="955"/>
    </row>
    <row r="15" spans="2:27" s="956" customFormat="1" ht="14.25" customHeight="1">
      <c r="B15" s="955"/>
      <c r="D15" s="2440" t="str">
        <f>IF(AND(D12&lt;&gt;0,D12&lt;&gt;"NAHASDA",D12&lt;&gt;""),"2016 HUD Area Median Income for",IF(AND(D12="NAHASDA",D12&lt;&gt;0),"NAHASDA Income Limits",IF(AND(D12="",D13=""),"Select project state and county on the Rent Schedule.")))</f>
        <v>Select project state and county on the Rent Schedule.</v>
      </c>
      <c r="E15" s="2440"/>
      <c r="F15" s="2440"/>
      <c r="G15" s="2440"/>
      <c r="H15" s="2440"/>
      <c r="L15" s="361"/>
      <c r="M15" s="361"/>
      <c r="N15" s="361"/>
      <c r="O15" s="361"/>
      <c r="P15" s="361"/>
      <c r="Q15" s="361"/>
      <c r="R15" s="361"/>
      <c r="S15" s="955"/>
      <c r="T15" s="955"/>
      <c r="U15" s="955"/>
      <c r="W15" s="955"/>
      <c r="X15" s="955"/>
      <c r="Z15" s="974" t="s">
        <v>1192</v>
      </c>
      <c r="AA15" s="894" t="str">
        <f>IF('B-Rent Schedule'!$D$14&lt;&gt;"",'B-Rent Schedule'!$D$14,"")</f>
        <v/>
      </c>
    </row>
    <row r="16" spans="2:27" s="956" customFormat="1" ht="14.25" customHeight="1">
      <c r="B16" s="955"/>
      <c r="D16" s="2447" t="str">
        <f>IF(AA22=1,"",IF(AA23=1,"",IF(AA24=1,X13,IF(AA25=1,X14,""))))</f>
        <v/>
      </c>
      <c r="E16" s="2447"/>
      <c r="F16" s="2447"/>
      <c r="L16" s="361"/>
      <c r="M16" s="361"/>
      <c r="N16" s="361"/>
      <c r="O16" s="361"/>
      <c r="P16" s="361"/>
      <c r="Q16" s="361"/>
      <c r="R16" s="361"/>
      <c r="S16" s="955"/>
      <c r="T16" s="542">
        <f ca="1">TODAY()</f>
        <v>43108</v>
      </c>
      <c r="U16" s="955"/>
      <c r="V16" s="955"/>
      <c r="W16" s="955"/>
      <c r="X16" s="955"/>
    </row>
    <row r="17" spans="2:28" s="956" customFormat="1" ht="13.5" customHeight="1">
      <c r="B17" s="955"/>
      <c r="D17" s="1414">
        <v>1</v>
      </c>
      <c r="E17" s="1408" t="str">
        <f>IFERROR('B-Rent Schedule'!J15*2,"")</f>
        <v/>
      </c>
      <c r="K17" s="2430" t="str">
        <f>IF(O17="","Input the Name of Individual Completing the Form:","Name of Individual Completing the Form:")</f>
        <v>Input the Name of Individual Completing the Form:</v>
      </c>
      <c r="L17" s="2430"/>
      <c r="M17" s="2430"/>
      <c r="N17" s="2430"/>
      <c r="O17" s="2436"/>
      <c r="P17" s="2437"/>
      <c r="Q17" s="2438"/>
      <c r="R17" s="361"/>
      <c r="S17" s="955"/>
      <c r="T17" s="955"/>
      <c r="U17" s="955"/>
      <c r="V17" s="955"/>
      <c r="W17" s="955">
        <f>IF(O17="",1,0)</f>
        <v>1</v>
      </c>
      <c r="X17" s="955"/>
      <c r="Z17" s="974" t="s">
        <v>1191</v>
      </c>
      <c r="AA17" s="974" t="str">
        <f>IF('B-Rent Schedule'!$D$17&lt;&gt;"",'B-Rent Schedule'!$D$17,"")</f>
        <v/>
      </c>
    </row>
    <row r="18" spans="2:28" s="956" customFormat="1" ht="13.5" customHeight="1">
      <c r="B18" s="955"/>
      <c r="D18" s="1413">
        <v>2</v>
      </c>
      <c r="E18" s="1408" t="str">
        <f>IFERROR('B-Rent Schedule'!K15*2,"")</f>
        <v/>
      </c>
      <c r="K18" s="2430" t="str">
        <f>IF(O18="","Input the Phone Number For the Above Listed Individual:","Phone:")</f>
        <v>Input the Phone Number For the Above Listed Individual:</v>
      </c>
      <c r="L18" s="2430"/>
      <c r="M18" s="2430"/>
      <c r="N18" s="2430"/>
      <c r="O18" s="2436"/>
      <c r="P18" s="2437"/>
      <c r="Q18" s="2438"/>
      <c r="R18" s="361"/>
      <c r="S18" s="955"/>
      <c r="T18" s="955"/>
      <c r="U18" s="955"/>
      <c r="V18" s="955"/>
      <c r="W18" s="955">
        <f>IF(O18="",1,0)</f>
        <v>1</v>
      </c>
      <c r="X18" s="955"/>
      <c r="Z18" s="974" t="s">
        <v>1190</v>
      </c>
      <c r="AA18" s="974" t="str">
        <f>IF('B-Rent Schedule'!$D$18&lt;&gt;"",'B-Rent Schedule'!$D$18,"")</f>
        <v/>
      </c>
    </row>
    <row r="19" spans="2:28" s="956" customFormat="1" ht="13.5" customHeight="1">
      <c r="B19" s="955"/>
      <c r="D19" s="1411">
        <v>3</v>
      </c>
      <c r="E19" s="1408" t="str">
        <f>IFERROR('B-Rent Schedule'!L15*2,"")</f>
        <v/>
      </c>
      <c r="K19" s="2430" t="str">
        <f>IF(O19="","Input the Email For the Above Listed Individual:","Email:")</f>
        <v>Input the Email For the Above Listed Individual:</v>
      </c>
      <c r="L19" s="2430"/>
      <c r="M19" s="2430"/>
      <c r="N19" s="2430"/>
      <c r="O19" s="2436"/>
      <c r="P19" s="2437"/>
      <c r="Q19" s="2438"/>
      <c r="R19" s="361"/>
      <c r="S19" s="955"/>
      <c r="T19" s="955"/>
      <c r="U19" s="955"/>
      <c r="V19" s="955"/>
      <c r="W19" s="955">
        <f>IF(O19="",1,0)</f>
        <v>1</v>
      </c>
      <c r="X19" s="955"/>
    </row>
    <row r="20" spans="2:28" s="956" customFormat="1" ht="13.5" customHeight="1">
      <c r="B20" s="955"/>
      <c r="D20" s="1411">
        <v>4</v>
      </c>
      <c r="E20" s="1408" t="str">
        <f>IFERROR('B-Rent Schedule'!M15*2,"")</f>
        <v/>
      </c>
      <c r="L20" s="101"/>
      <c r="M20" s="101"/>
      <c r="O20" s="1412"/>
      <c r="P20" s="1412"/>
      <c r="Q20" s="1412"/>
      <c r="R20" s="361"/>
      <c r="S20" s="955"/>
      <c r="T20" s="955" t="s">
        <v>1189</v>
      </c>
      <c r="U20" s="955">
        <f>COUNTIF(G27:G216,"Vacant")</f>
        <v>0</v>
      </c>
      <c r="V20" s="955"/>
      <c r="W20" s="955"/>
      <c r="X20" s="955"/>
    </row>
    <row r="21" spans="2:28" s="956" customFormat="1" ht="13.5" customHeight="1">
      <c r="B21" s="955"/>
      <c r="D21" s="1411">
        <v>5</v>
      </c>
      <c r="E21" s="1408" t="str">
        <f>IFERROR('B-Rent Schedule'!N15*2,"")</f>
        <v/>
      </c>
      <c r="K21" s="2430" t="str">
        <f>IF(O21="","Input the As of Date For the TIV:","As of Date:")</f>
        <v>Input the As of Date For the TIV:</v>
      </c>
      <c r="L21" s="2430"/>
      <c r="M21" s="2430"/>
      <c r="N21" s="2430"/>
      <c r="O21" s="2433"/>
      <c r="P21" s="2434"/>
      <c r="Q21" s="2435"/>
      <c r="R21" s="361"/>
      <c r="S21" s="955"/>
      <c r="V21" s="955"/>
      <c r="W21" s="955">
        <f>IF(O21="",1,0)</f>
        <v>1</v>
      </c>
      <c r="X21" s="955"/>
    </row>
    <row r="22" spans="2:28" s="956" customFormat="1" ht="13.5" customHeight="1">
      <c r="B22" s="955"/>
      <c r="D22" s="1411">
        <v>6</v>
      </c>
      <c r="E22" s="1408" t="str">
        <f>IFERROR('B-Rent Schedule'!O15*2,"")</f>
        <v/>
      </c>
      <c r="L22" s="361"/>
      <c r="M22" s="361"/>
      <c r="N22" s="361"/>
      <c r="O22" s="361"/>
      <c r="P22" s="361"/>
      <c r="Q22" s="361"/>
      <c r="R22" s="361"/>
      <c r="S22" s="955"/>
      <c r="T22" s="955">
        <f>COUNTIF(J27:J216,"&gt;0")</f>
        <v>0</v>
      </c>
      <c r="U22" s="955">
        <f>COUNTIF(K27:K216,"&lt;&gt;")</f>
        <v>0</v>
      </c>
      <c r="V22" s="955"/>
      <c r="W22" s="955"/>
      <c r="X22" s="955"/>
      <c r="Z22" s="956" t="s">
        <v>1188</v>
      </c>
      <c r="AA22" s="956" t="b">
        <f>IF(AND(AA13="Not Listed",AA17="",AA18=""),1)</f>
        <v>0</v>
      </c>
    </row>
    <row r="23" spans="2:28" s="956" customFormat="1" ht="13.5" customHeight="1">
      <c r="D23" s="1411">
        <v>7</v>
      </c>
      <c r="E23" s="1408" t="str">
        <f>IFERROR('B-Rent Schedule'!P15*2,"")</f>
        <v/>
      </c>
      <c r="M23" s="2432" t="s">
        <v>1187</v>
      </c>
      <c r="N23" s="2432"/>
      <c r="O23" s="2432"/>
      <c r="P23" s="2432"/>
      <c r="Q23" s="1410">
        <f>'B-Rent Schedule'!K66</f>
        <v>0</v>
      </c>
      <c r="R23" s="361"/>
      <c r="S23" s="955"/>
      <c r="T23" s="955"/>
      <c r="U23" s="955"/>
      <c r="V23" s="955"/>
      <c r="W23" s="955"/>
      <c r="X23" s="955"/>
      <c r="Z23" s="956" t="s">
        <v>1186</v>
      </c>
      <c r="AA23" s="956" t="b">
        <f>IF(AND(AA13="Select a State",AA15=""),1)</f>
        <v>0</v>
      </c>
    </row>
    <row r="24" spans="2:28" s="956" customFormat="1" ht="13.5" customHeight="1">
      <c r="D24" s="1409">
        <v>8</v>
      </c>
      <c r="E24" s="1408" t="str">
        <f>IFERROR('B-Rent Schedule'!Q15*2,"")</f>
        <v/>
      </c>
      <c r="M24" s="1407"/>
      <c r="N24" s="2431" t="s">
        <v>1185</v>
      </c>
      <c r="O24" s="2431"/>
      <c r="P24" s="2431"/>
      <c r="Q24" s="1406">
        <f>COUNTA(C27:C86)</f>
        <v>0</v>
      </c>
      <c r="R24" s="361"/>
      <c r="S24" s="955"/>
      <c r="T24" s="955"/>
      <c r="U24" s="955"/>
      <c r="V24" s="955"/>
      <c r="W24" s="955">
        <f>IF(Q23&lt;&gt;Q24,1,0)</f>
        <v>0</v>
      </c>
      <c r="X24" s="955"/>
      <c r="Z24" s="956" t="s">
        <v>1184</v>
      </c>
      <c r="AA24" s="956" t="b">
        <f>IF(AND(AA13&lt;&gt;"NAHASDA",AA13&lt;&gt;"Not Listed",AA13&lt;&gt;"Select a State",AA15&lt;&gt;""),1)</f>
        <v>0</v>
      </c>
    </row>
    <row r="25" spans="2:28" ht="27" customHeight="1">
      <c r="B25" s="7"/>
      <c r="C25" s="2444" t="s">
        <v>1183</v>
      </c>
      <c r="D25" s="2444"/>
      <c r="E25" s="2444"/>
      <c r="F25" s="2444"/>
      <c r="G25" s="2444"/>
      <c r="H25" s="2444"/>
      <c r="I25" s="2444"/>
      <c r="J25" s="2444"/>
      <c r="K25" s="1405"/>
      <c r="L25" s="2445" t="str">
        <f>IF(Q23&lt;&gt;Q24,"Total number of units on the TIV must match the number of units indicated on the Rent Schedule.","")</f>
        <v/>
      </c>
      <c r="M25" s="2445"/>
      <c r="N25" s="2445"/>
      <c r="O25" s="2445"/>
      <c r="P25" s="2445"/>
      <c r="Q25" s="2445"/>
      <c r="R25" s="7"/>
      <c r="S25" s="7"/>
      <c r="T25" s="7"/>
      <c r="U25" s="7"/>
      <c r="V25" s="7"/>
      <c r="W25" s="7"/>
      <c r="X25" s="7"/>
      <c r="Z25" s="956" t="s">
        <v>1182</v>
      </c>
      <c r="AA25" s="956" t="b">
        <f>IF(AND(AA13="Not Listed",AA17&lt;&gt;"",AA18&lt;&gt;""),1)</f>
        <v>0</v>
      </c>
    </row>
    <row r="26" spans="2:28" ht="35.25" customHeight="1">
      <c r="B26" s="39"/>
      <c r="C26" s="1586" t="s">
        <v>124</v>
      </c>
      <c r="D26" s="2446" t="s">
        <v>60</v>
      </c>
      <c r="E26" s="2446"/>
      <c r="F26" s="1587" t="s">
        <v>153</v>
      </c>
      <c r="G26" s="1588" t="s">
        <v>61</v>
      </c>
      <c r="H26" s="1588" t="s">
        <v>49</v>
      </c>
      <c r="I26" s="1589" t="s">
        <v>712</v>
      </c>
      <c r="J26" s="1588" t="s">
        <v>62</v>
      </c>
      <c r="K26" s="1588" t="s">
        <v>711</v>
      </c>
      <c r="L26" s="1588" t="s">
        <v>1181</v>
      </c>
      <c r="M26" s="1588" t="s">
        <v>1180</v>
      </c>
      <c r="N26" s="1588" t="s">
        <v>50</v>
      </c>
      <c r="O26" s="1588" t="s">
        <v>1179</v>
      </c>
      <c r="P26" s="1588" t="s">
        <v>1178</v>
      </c>
      <c r="Q26" s="1588" t="s">
        <v>66</v>
      </c>
      <c r="R26" s="1588" t="s">
        <v>67</v>
      </c>
      <c r="S26" s="1590" t="s">
        <v>68</v>
      </c>
      <c r="T26" s="7"/>
      <c r="U26" s="78"/>
      <c r="V26" s="78"/>
      <c r="W26" s="7"/>
      <c r="X26" s="7"/>
      <c r="Y26" s="7"/>
      <c r="Z26" s="7"/>
    </row>
    <row r="27" spans="2:28" ht="12.75" customHeight="1">
      <c r="B27" s="1404">
        <v>1</v>
      </c>
      <c r="C27" s="1402"/>
      <c r="D27" s="2439"/>
      <c r="E27" s="2439"/>
      <c r="F27" s="1402"/>
      <c r="G27" s="1402"/>
      <c r="H27" s="103"/>
      <c r="I27" s="1401"/>
      <c r="J27" s="1395">
        <f>H27-I27</f>
        <v>0</v>
      </c>
      <c r="K27" s="1400"/>
      <c r="L27" s="103"/>
      <c r="M27" s="1393" t="str">
        <f t="shared" ref="M27:M39" si="0">IF(G27="Vacant","NA",IF(G27=1,(L27/$E$17),IF(G27=2,(L27/$E$18),IF(G27=3,(L27/$E$19),IF(G27=4,(L27/$E$20),IF(G27=5,(L27/$E$21),IF(G27=6,(L27/$E$22),IF(G27=7,(L27/$E$23),IF(G27=8,(L27/$E$24),IF(G27=9,(L27/U12),IF(G27=10,(L27/U13),"")))))))))))</f>
        <v/>
      </c>
      <c r="N27" s="1392" t="str">
        <f t="shared" ref="N27:N58" si="1">IFERROR(IF(G27="Vacant","NA",I27/(L27/12)),"")</f>
        <v/>
      </c>
      <c r="O27" s="1391"/>
      <c r="P27" s="1390"/>
      <c r="Q27" s="621"/>
      <c r="R27" s="621"/>
      <c r="S27" s="621"/>
      <c r="T27" s="7"/>
      <c r="V27" s="78"/>
      <c r="W27" s="7"/>
      <c r="X27" s="7"/>
      <c r="Y27" s="7"/>
      <c r="Z27" s="7"/>
    </row>
    <row r="28" spans="2:28" ht="12.75" customHeight="1">
      <c r="B28" s="1398">
        <v>2</v>
      </c>
      <c r="C28" s="1402"/>
      <c r="D28" s="2439"/>
      <c r="E28" s="2439"/>
      <c r="F28" s="1402"/>
      <c r="G28" s="1402"/>
      <c r="H28" s="103"/>
      <c r="I28" s="1401"/>
      <c r="J28" s="1395" t="str">
        <f t="shared" ref="J28:J59" si="2">IF($Q$23&gt;=B28,H28-I28,"")</f>
        <v/>
      </c>
      <c r="K28" s="1400"/>
      <c r="L28" s="103"/>
      <c r="M28" s="1393" t="str">
        <f t="shared" si="0"/>
        <v/>
      </c>
      <c r="N28" s="1392" t="str">
        <f t="shared" si="1"/>
        <v/>
      </c>
      <c r="O28" s="1391"/>
      <c r="P28" s="1390"/>
      <c r="Q28" s="621"/>
      <c r="R28" s="621"/>
      <c r="S28" s="621"/>
      <c r="T28" s="7"/>
      <c r="V28" s="78"/>
      <c r="W28" s="955" t="s">
        <v>114</v>
      </c>
      <c r="X28" s="7"/>
      <c r="Y28" s="800"/>
      <c r="Z28" s="1403" t="s">
        <v>1177</v>
      </c>
      <c r="AB28" s="83" t="s">
        <v>16</v>
      </c>
    </row>
    <row r="29" spans="2:28" ht="12.75" customHeight="1">
      <c r="B29" s="1398">
        <v>3</v>
      </c>
      <c r="C29" s="1402"/>
      <c r="D29" s="2439"/>
      <c r="E29" s="2439"/>
      <c r="F29" s="1402"/>
      <c r="G29" s="1402"/>
      <c r="H29" s="103"/>
      <c r="I29" s="1401"/>
      <c r="J29" s="1395" t="str">
        <f t="shared" si="2"/>
        <v/>
      </c>
      <c r="K29" s="1400"/>
      <c r="L29" s="103"/>
      <c r="M29" s="1393" t="str">
        <f t="shared" si="0"/>
        <v/>
      </c>
      <c r="N29" s="1392" t="str">
        <f t="shared" si="1"/>
        <v/>
      </c>
      <c r="O29" s="1391"/>
      <c r="P29" s="1390"/>
      <c r="Q29" s="621"/>
      <c r="R29" s="621"/>
      <c r="S29" s="621"/>
      <c r="T29" s="7"/>
      <c r="V29" s="78"/>
      <c r="W29" s="955" t="s">
        <v>115</v>
      </c>
      <c r="X29" s="7"/>
      <c r="Y29" s="800" t="s">
        <v>15</v>
      </c>
      <c r="Z29" s="78">
        <v>1</v>
      </c>
      <c r="AB29" s="83" t="s">
        <v>934</v>
      </c>
    </row>
    <row r="30" spans="2:28" ht="12.75" customHeight="1">
      <c r="B30" s="1398">
        <v>4</v>
      </c>
      <c r="C30" s="1402"/>
      <c r="D30" s="2439"/>
      <c r="E30" s="2439"/>
      <c r="F30" s="1402"/>
      <c r="G30" s="1402"/>
      <c r="H30" s="103"/>
      <c r="I30" s="1401"/>
      <c r="J30" s="1395" t="str">
        <f t="shared" si="2"/>
        <v/>
      </c>
      <c r="K30" s="1400"/>
      <c r="L30" s="103"/>
      <c r="M30" s="1393" t="str">
        <f t="shared" si="0"/>
        <v/>
      </c>
      <c r="N30" s="1392" t="str">
        <f t="shared" si="1"/>
        <v/>
      </c>
      <c r="O30" s="1391"/>
      <c r="P30" s="1390"/>
      <c r="Q30" s="621"/>
      <c r="R30" s="621"/>
      <c r="S30" s="621"/>
      <c r="T30" s="7"/>
      <c r="V30" s="78"/>
      <c r="W30" s="7"/>
      <c r="X30" s="7"/>
      <c r="Y30" s="800" t="s">
        <v>122</v>
      </c>
      <c r="Z30" s="78">
        <v>2</v>
      </c>
      <c r="AB30" s="83" t="s">
        <v>935</v>
      </c>
    </row>
    <row r="31" spans="2:28" ht="12.75" customHeight="1">
      <c r="B31" s="1398">
        <v>5</v>
      </c>
      <c r="C31" s="1402"/>
      <c r="D31" s="2439"/>
      <c r="E31" s="2439"/>
      <c r="F31" s="1402"/>
      <c r="G31" s="1402"/>
      <c r="H31" s="103"/>
      <c r="I31" s="1401"/>
      <c r="J31" s="1395" t="str">
        <f t="shared" si="2"/>
        <v/>
      </c>
      <c r="K31" s="1400"/>
      <c r="L31" s="103"/>
      <c r="M31" s="1393" t="str">
        <f t="shared" si="0"/>
        <v/>
      </c>
      <c r="N31" s="1392" t="str">
        <f t="shared" si="1"/>
        <v/>
      </c>
      <c r="O31" s="1391"/>
      <c r="P31" s="1390"/>
      <c r="Q31" s="621"/>
      <c r="R31" s="621"/>
      <c r="S31" s="621"/>
      <c r="T31" s="7"/>
      <c r="V31" s="78"/>
      <c r="W31" s="7"/>
      <c r="X31" s="7"/>
      <c r="Y31" s="800">
        <v>1</v>
      </c>
      <c r="Z31" s="78">
        <v>3</v>
      </c>
      <c r="AB31" s="83" t="s">
        <v>936</v>
      </c>
    </row>
    <row r="32" spans="2:28" ht="12.75" customHeight="1">
      <c r="B32" s="1398">
        <v>6</v>
      </c>
      <c r="C32" s="1402"/>
      <c r="D32" s="2439"/>
      <c r="E32" s="2439"/>
      <c r="F32" s="1402"/>
      <c r="G32" s="1402"/>
      <c r="H32" s="103"/>
      <c r="I32" s="1401"/>
      <c r="J32" s="1395" t="str">
        <f t="shared" si="2"/>
        <v/>
      </c>
      <c r="K32" s="1400"/>
      <c r="L32" s="103"/>
      <c r="M32" s="1393" t="str">
        <f t="shared" si="0"/>
        <v/>
      </c>
      <c r="N32" s="1392" t="str">
        <f t="shared" si="1"/>
        <v/>
      </c>
      <c r="O32" s="1391"/>
      <c r="P32" s="1390"/>
      <c r="Q32" s="621"/>
      <c r="R32" s="621"/>
      <c r="S32" s="621"/>
      <c r="T32" s="7"/>
      <c r="V32" s="78"/>
      <c r="W32" s="7"/>
      <c r="X32" s="7"/>
      <c r="Y32" s="800">
        <v>2</v>
      </c>
      <c r="Z32" s="78">
        <v>4</v>
      </c>
      <c r="AB32" s="83" t="s">
        <v>33</v>
      </c>
    </row>
    <row r="33" spans="2:26" ht="12.75" customHeight="1">
      <c r="B33" s="1398">
        <v>7</v>
      </c>
      <c r="C33" s="1402"/>
      <c r="D33" s="2439"/>
      <c r="E33" s="2439"/>
      <c r="F33" s="1402"/>
      <c r="G33" s="1402"/>
      <c r="H33" s="103"/>
      <c r="I33" s="1401"/>
      <c r="J33" s="1395" t="str">
        <f t="shared" si="2"/>
        <v/>
      </c>
      <c r="K33" s="1400"/>
      <c r="L33" s="103"/>
      <c r="M33" s="1393" t="str">
        <f t="shared" si="0"/>
        <v/>
      </c>
      <c r="N33" s="1392" t="str">
        <f t="shared" si="1"/>
        <v/>
      </c>
      <c r="O33" s="1391"/>
      <c r="P33" s="1390"/>
      <c r="Q33" s="621"/>
      <c r="R33" s="621"/>
      <c r="S33" s="621"/>
      <c r="T33" s="7"/>
      <c r="V33" s="78"/>
      <c r="W33" s="7"/>
      <c r="X33" s="7"/>
      <c r="Y33" s="800">
        <v>3</v>
      </c>
      <c r="Z33" s="78">
        <v>5</v>
      </c>
    </row>
    <row r="34" spans="2:26" ht="12.75" customHeight="1">
      <c r="B34" s="1398">
        <v>8</v>
      </c>
      <c r="C34" s="1402"/>
      <c r="D34" s="2439"/>
      <c r="E34" s="2439"/>
      <c r="F34" s="1402"/>
      <c r="G34" s="1402"/>
      <c r="H34" s="103"/>
      <c r="I34" s="1401"/>
      <c r="J34" s="1395" t="str">
        <f t="shared" si="2"/>
        <v/>
      </c>
      <c r="K34" s="1400"/>
      <c r="L34" s="103"/>
      <c r="M34" s="1393" t="str">
        <f t="shared" si="0"/>
        <v/>
      </c>
      <c r="N34" s="1392" t="str">
        <f t="shared" si="1"/>
        <v/>
      </c>
      <c r="O34" s="1391"/>
      <c r="P34" s="1390"/>
      <c r="Q34" s="621"/>
      <c r="R34" s="621"/>
      <c r="S34" s="621"/>
      <c r="T34" s="7"/>
      <c r="V34" s="78"/>
      <c r="W34" s="7"/>
      <c r="X34" s="7"/>
      <c r="Y34" s="800">
        <v>4</v>
      </c>
      <c r="Z34" s="78">
        <v>6</v>
      </c>
    </row>
    <row r="35" spans="2:26" ht="12.75" customHeight="1">
      <c r="B35" s="1398">
        <v>9</v>
      </c>
      <c r="C35" s="1402"/>
      <c r="D35" s="2439"/>
      <c r="E35" s="2439"/>
      <c r="F35" s="1402"/>
      <c r="G35" s="1402"/>
      <c r="H35" s="103"/>
      <c r="I35" s="1401"/>
      <c r="J35" s="1395" t="str">
        <f t="shared" si="2"/>
        <v/>
      </c>
      <c r="K35" s="1400"/>
      <c r="L35" s="103"/>
      <c r="M35" s="1393" t="str">
        <f t="shared" si="0"/>
        <v/>
      </c>
      <c r="N35" s="1392" t="str">
        <f t="shared" si="1"/>
        <v/>
      </c>
      <c r="O35" s="1391"/>
      <c r="P35" s="1390"/>
      <c r="Q35" s="621"/>
      <c r="R35" s="621"/>
      <c r="S35" s="621"/>
      <c r="T35" s="7"/>
      <c r="V35" s="78"/>
      <c r="W35" s="7"/>
      <c r="X35" s="7"/>
      <c r="Y35" s="800">
        <v>5</v>
      </c>
      <c r="Z35" s="78">
        <v>7</v>
      </c>
    </row>
    <row r="36" spans="2:26" ht="12.75" customHeight="1">
      <c r="B36" s="1398">
        <v>10</v>
      </c>
      <c r="C36" s="1402"/>
      <c r="D36" s="2439"/>
      <c r="E36" s="2439"/>
      <c r="F36" s="1402"/>
      <c r="G36" s="1402"/>
      <c r="H36" s="103"/>
      <c r="I36" s="1401"/>
      <c r="J36" s="1395" t="str">
        <f t="shared" si="2"/>
        <v/>
      </c>
      <c r="K36" s="1400"/>
      <c r="L36" s="103"/>
      <c r="M36" s="1393" t="str">
        <f t="shared" si="0"/>
        <v/>
      </c>
      <c r="N36" s="1392" t="str">
        <f t="shared" si="1"/>
        <v/>
      </c>
      <c r="O36" s="1391"/>
      <c r="P36" s="1390"/>
      <c r="Q36" s="621"/>
      <c r="R36" s="621"/>
      <c r="S36" s="621"/>
      <c r="T36" s="7"/>
      <c r="V36" s="78"/>
      <c r="W36" s="7"/>
      <c r="X36" s="7"/>
      <c r="Y36" s="7"/>
      <c r="Z36" s="78">
        <v>8</v>
      </c>
    </row>
    <row r="37" spans="2:26" ht="12.75" customHeight="1">
      <c r="B37" s="1398">
        <v>11</v>
      </c>
      <c r="C37" s="1402"/>
      <c r="D37" s="2439"/>
      <c r="E37" s="2439"/>
      <c r="F37" s="1402"/>
      <c r="G37" s="1402"/>
      <c r="H37" s="103"/>
      <c r="I37" s="1401"/>
      <c r="J37" s="1395" t="str">
        <f t="shared" si="2"/>
        <v/>
      </c>
      <c r="K37" s="1400"/>
      <c r="L37" s="103"/>
      <c r="M37" s="1393" t="str">
        <f t="shared" si="0"/>
        <v/>
      </c>
      <c r="N37" s="1392" t="str">
        <f t="shared" si="1"/>
        <v/>
      </c>
      <c r="O37" s="1391"/>
      <c r="P37" s="1390"/>
      <c r="Q37" s="621"/>
      <c r="R37" s="621"/>
      <c r="S37" s="621"/>
      <c r="T37" s="7"/>
      <c r="V37" s="78"/>
      <c r="W37" s="7"/>
      <c r="X37" s="7"/>
      <c r="Y37" s="7"/>
      <c r="Z37" s="7">
        <v>9</v>
      </c>
    </row>
    <row r="38" spans="2:26" ht="12.75" customHeight="1">
      <c r="B38" s="1398">
        <v>12</v>
      </c>
      <c r="C38" s="1402"/>
      <c r="D38" s="2439"/>
      <c r="E38" s="2439"/>
      <c r="F38" s="1402"/>
      <c r="G38" s="1402"/>
      <c r="H38" s="103"/>
      <c r="I38" s="1401"/>
      <c r="J38" s="1395" t="str">
        <f t="shared" si="2"/>
        <v/>
      </c>
      <c r="K38" s="1400"/>
      <c r="L38" s="103"/>
      <c r="M38" s="1393" t="str">
        <f t="shared" si="0"/>
        <v/>
      </c>
      <c r="N38" s="1392" t="str">
        <f t="shared" si="1"/>
        <v/>
      </c>
      <c r="O38" s="1391"/>
      <c r="P38" s="1390"/>
      <c r="Q38" s="621"/>
      <c r="R38" s="621"/>
      <c r="S38" s="621"/>
      <c r="T38" s="7"/>
      <c r="V38" s="78"/>
      <c r="W38" s="7"/>
      <c r="X38" s="7"/>
      <c r="Y38" s="7"/>
      <c r="Z38" s="7">
        <v>10</v>
      </c>
    </row>
    <row r="39" spans="2:26" ht="12.75" customHeight="1">
      <c r="B39" s="1398">
        <v>13</v>
      </c>
      <c r="C39" s="1402"/>
      <c r="D39" s="2439"/>
      <c r="E39" s="2439"/>
      <c r="F39" s="1402"/>
      <c r="G39" s="1402"/>
      <c r="H39" s="103"/>
      <c r="I39" s="1401"/>
      <c r="J39" s="1395" t="str">
        <f t="shared" si="2"/>
        <v/>
      </c>
      <c r="K39" s="1400"/>
      <c r="L39" s="103"/>
      <c r="M39" s="1393" t="str">
        <f t="shared" si="0"/>
        <v/>
      </c>
      <c r="N39" s="1392" t="str">
        <f t="shared" si="1"/>
        <v/>
      </c>
      <c r="O39" s="1391"/>
      <c r="P39" s="1390"/>
      <c r="Q39" s="621"/>
      <c r="R39" s="621"/>
      <c r="S39" s="621"/>
      <c r="T39" s="7"/>
      <c r="V39" s="78"/>
      <c r="W39" s="7"/>
      <c r="X39" s="7"/>
      <c r="Y39" s="7"/>
      <c r="Z39" s="7"/>
    </row>
    <row r="40" spans="2:26" ht="12.75" customHeight="1">
      <c r="B40" s="1398">
        <v>14</v>
      </c>
      <c r="C40" s="1402"/>
      <c r="D40" s="2439"/>
      <c r="E40" s="2439"/>
      <c r="F40" s="1402"/>
      <c r="G40" s="1402"/>
      <c r="H40" s="103"/>
      <c r="I40" s="1401"/>
      <c r="J40" s="1395" t="str">
        <f t="shared" si="2"/>
        <v/>
      </c>
      <c r="K40" s="1400"/>
      <c r="L40" s="103"/>
      <c r="M40" s="1393" t="str">
        <f>IF(G40="Vacant","NA",IF(G40=1,(L40/$E$17),IF(G40=2,(L40/$E$18),IF(G40=3,(L40/$E$19),IF(G40=4,(L40/$E$20),IF(G40=5,(L40/$E$21),IF(G40=6,(L40/$E$22),IF(G40=7,(L40/$E$23),IF(G40=8,(L40/$E$24),IF(G40=9,(L40/U25),IF(G40=10,(L40/W26),"")))))))))))</f>
        <v/>
      </c>
      <c r="N40" s="1392" t="str">
        <f t="shared" si="1"/>
        <v/>
      </c>
      <c r="O40" s="1391"/>
      <c r="P40" s="1390"/>
      <c r="Q40" s="621"/>
      <c r="R40" s="621"/>
      <c r="S40" s="621"/>
      <c r="T40" s="7"/>
      <c r="V40" s="78"/>
      <c r="W40" s="7"/>
      <c r="X40" s="7"/>
      <c r="Y40" s="7"/>
      <c r="Z40" s="7"/>
    </row>
    <row r="41" spans="2:26" ht="12.75" customHeight="1">
      <c r="B41" s="1398">
        <v>15</v>
      </c>
      <c r="C41" s="1402"/>
      <c r="D41" s="2439"/>
      <c r="E41" s="2439"/>
      <c r="F41" s="1402"/>
      <c r="G41" s="1402"/>
      <c r="H41" s="103"/>
      <c r="I41" s="1401"/>
      <c r="J41" s="1395" t="str">
        <f t="shared" si="2"/>
        <v/>
      </c>
      <c r="K41" s="1400"/>
      <c r="L41" s="103"/>
      <c r="M41" s="1393" t="str">
        <f t="shared" ref="M41:M72" si="3">IF(G41="Vacant","NA",IF(G41=1,(L41/$E$17),IF(G41=2,(L41/$E$18),IF(G41=3,(L41/$E$19),IF(G41=4,(L41/$E$20),IF(G41=5,(L41/$E$21),IF(G41=6,(L41/$E$22),IF(G41=7,(L41/$E$23),IF(G41=8,(L41/$E$24),IF(G41=9,(L41/W26),IF(G41=10,(L41/W27),"")))))))))))</f>
        <v/>
      </c>
      <c r="N41" s="1392" t="str">
        <f t="shared" si="1"/>
        <v/>
      </c>
      <c r="O41" s="1391"/>
      <c r="P41" s="1390"/>
      <c r="Q41" s="621"/>
      <c r="R41" s="621"/>
      <c r="S41" s="621"/>
      <c r="T41" s="7"/>
      <c r="V41" s="78"/>
      <c r="W41" s="7"/>
      <c r="X41" s="7"/>
      <c r="Y41" s="7"/>
      <c r="Z41" s="7"/>
    </row>
    <row r="42" spans="2:26" ht="12.75" customHeight="1">
      <c r="B42" s="1398">
        <v>16</v>
      </c>
      <c r="C42" s="1402"/>
      <c r="D42" s="2439"/>
      <c r="E42" s="2439"/>
      <c r="F42" s="1402"/>
      <c r="G42" s="1402"/>
      <c r="H42" s="103"/>
      <c r="I42" s="1401"/>
      <c r="J42" s="1395" t="str">
        <f t="shared" si="2"/>
        <v/>
      </c>
      <c r="K42" s="1400"/>
      <c r="L42" s="103"/>
      <c r="M42" s="1393" t="str">
        <f t="shared" si="3"/>
        <v/>
      </c>
      <c r="N42" s="1392" t="str">
        <f t="shared" si="1"/>
        <v/>
      </c>
      <c r="O42" s="1391"/>
      <c r="P42" s="1390"/>
      <c r="Q42" s="621"/>
      <c r="R42" s="621"/>
      <c r="S42" s="621"/>
      <c r="T42" s="7"/>
      <c r="V42" s="78"/>
      <c r="W42" s="7"/>
      <c r="X42" s="7"/>
      <c r="Y42" s="7"/>
      <c r="Z42" s="7"/>
    </row>
    <row r="43" spans="2:26" ht="12.75" customHeight="1">
      <c r="B43" s="1398">
        <v>17</v>
      </c>
      <c r="C43" s="1402"/>
      <c r="D43" s="2439"/>
      <c r="E43" s="2439"/>
      <c r="F43" s="1402"/>
      <c r="G43" s="1402"/>
      <c r="H43" s="103"/>
      <c r="I43" s="1401"/>
      <c r="J43" s="1395" t="str">
        <f t="shared" si="2"/>
        <v/>
      </c>
      <c r="K43" s="1400"/>
      <c r="L43" s="103"/>
      <c r="M43" s="1393" t="str">
        <f t="shared" si="3"/>
        <v/>
      </c>
      <c r="N43" s="1392" t="str">
        <f t="shared" si="1"/>
        <v/>
      </c>
      <c r="O43" s="1391"/>
      <c r="P43" s="1390"/>
      <c r="Q43" s="621"/>
      <c r="R43" s="621"/>
      <c r="S43" s="621"/>
      <c r="T43" s="7"/>
      <c r="V43" s="78"/>
      <c r="W43" s="7"/>
      <c r="X43" s="7"/>
      <c r="Y43" s="7"/>
      <c r="Z43" s="7"/>
    </row>
    <row r="44" spans="2:26" ht="12.75" customHeight="1">
      <c r="B44" s="1398">
        <v>18</v>
      </c>
      <c r="C44" s="1402"/>
      <c r="D44" s="2439"/>
      <c r="E44" s="2439"/>
      <c r="F44" s="1402"/>
      <c r="G44" s="1402"/>
      <c r="H44" s="103"/>
      <c r="I44" s="1401"/>
      <c r="J44" s="1395" t="str">
        <f t="shared" si="2"/>
        <v/>
      </c>
      <c r="K44" s="1400"/>
      <c r="L44" s="103"/>
      <c r="M44" s="1393" t="str">
        <f t="shared" si="3"/>
        <v/>
      </c>
      <c r="N44" s="1392" t="str">
        <f t="shared" si="1"/>
        <v/>
      </c>
      <c r="O44" s="1391"/>
      <c r="P44" s="1390"/>
      <c r="Q44" s="621"/>
      <c r="R44" s="621"/>
      <c r="S44" s="621"/>
      <c r="T44" s="7"/>
      <c r="V44" s="78"/>
      <c r="W44" s="7"/>
      <c r="X44" s="7"/>
      <c r="Y44" s="7"/>
      <c r="Z44" s="7"/>
    </row>
    <row r="45" spans="2:26" ht="12.75" customHeight="1">
      <c r="B45" s="1398">
        <v>19</v>
      </c>
      <c r="C45" s="1402"/>
      <c r="D45" s="2439"/>
      <c r="E45" s="2439"/>
      <c r="F45" s="1402"/>
      <c r="G45" s="1402"/>
      <c r="H45" s="103"/>
      <c r="I45" s="1401"/>
      <c r="J45" s="1395" t="str">
        <f t="shared" si="2"/>
        <v/>
      </c>
      <c r="K45" s="1400"/>
      <c r="L45" s="103"/>
      <c r="M45" s="1393" t="str">
        <f t="shared" si="3"/>
        <v/>
      </c>
      <c r="N45" s="1392" t="str">
        <f t="shared" si="1"/>
        <v/>
      </c>
      <c r="O45" s="1391"/>
      <c r="P45" s="1390"/>
      <c r="Q45" s="621"/>
      <c r="R45" s="621"/>
      <c r="S45" s="621"/>
      <c r="T45" s="7"/>
      <c r="V45" s="78"/>
      <c r="W45" s="7"/>
      <c r="X45" s="7"/>
      <c r="Y45" s="7"/>
      <c r="Z45" s="7"/>
    </row>
    <row r="46" spans="2:26" ht="12.75" customHeight="1">
      <c r="B46" s="1398">
        <v>20</v>
      </c>
      <c r="C46" s="1402"/>
      <c r="D46" s="2439"/>
      <c r="E46" s="2439"/>
      <c r="F46" s="1402"/>
      <c r="G46" s="1402"/>
      <c r="H46" s="103"/>
      <c r="I46" s="1401"/>
      <c r="J46" s="1395" t="str">
        <f t="shared" si="2"/>
        <v/>
      </c>
      <c r="K46" s="1400"/>
      <c r="L46" s="103"/>
      <c r="M46" s="1393" t="str">
        <f t="shared" si="3"/>
        <v/>
      </c>
      <c r="N46" s="1392" t="str">
        <f t="shared" si="1"/>
        <v/>
      </c>
      <c r="O46" s="1391"/>
      <c r="P46" s="1390"/>
      <c r="Q46" s="621"/>
      <c r="R46" s="621"/>
      <c r="S46" s="621"/>
      <c r="T46" s="7"/>
      <c r="V46" s="78"/>
      <c r="W46" s="7"/>
      <c r="X46" s="7"/>
      <c r="Y46" s="7"/>
      <c r="Z46" s="7"/>
    </row>
    <row r="47" spans="2:26" ht="12.75" customHeight="1">
      <c r="B47" s="1398">
        <v>21</v>
      </c>
      <c r="C47" s="1402"/>
      <c r="D47" s="2439"/>
      <c r="E47" s="2439"/>
      <c r="F47" s="1402"/>
      <c r="G47" s="1402"/>
      <c r="H47" s="103"/>
      <c r="I47" s="1401"/>
      <c r="J47" s="1395" t="str">
        <f t="shared" si="2"/>
        <v/>
      </c>
      <c r="K47" s="1400"/>
      <c r="L47" s="103"/>
      <c r="M47" s="1393" t="str">
        <f t="shared" si="3"/>
        <v/>
      </c>
      <c r="N47" s="1392" t="str">
        <f t="shared" si="1"/>
        <v/>
      </c>
      <c r="O47" s="1391"/>
      <c r="P47" s="1390"/>
      <c r="Q47" s="621"/>
      <c r="R47" s="621"/>
      <c r="S47" s="621"/>
      <c r="T47" s="7"/>
      <c r="V47" s="78"/>
      <c r="W47" s="7"/>
      <c r="X47" s="7"/>
      <c r="Y47" s="7"/>
      <c r="Z47" s="7"/>
    </row>
    <row r="48" spans="2:26" ht="12.75" customHeight="1">
      <c r="B48" s="1398">
        <v>22</v>
      </c>
      <c r="C48" s="1402"/>
      <c r="D48" s="2439"/>
      <c r="E48" s="2439"/>
      <c r="F48" s="1402"/>
      <c r="G48" s="1402"/>
      <c r="H48" s="103"/>
      <c r="I48" s="1401"/>
      <c r="J48" s="1395" t="str">
        <f t="shared" si="2"/>
        <v/>
      </c>
      <c r="K48" s="1400"/>
      <c r="L48" s="103"/>
      <c r="M48" s="1393" t="str">
        <f t="shared" si="3"/>
        <v/>
      </c>
      <c r="N48" s="1392" t="str">
        <f t="shared" si="1"/>
        <v/>
      </c>
      <c r="O48" s="1391"/>
      <c r="P48" s="1390"/>
      <c r="Q48" s="621"/>
      <c r="R48" s="621"/>
      <c r="S48" s="621"/>
      <c r="T48" s="7"/>
      <c r="V48" s="78"/>
      <c r="W48" s="7"/>
      <c r="X48" s="7"/>
      <c r="Y48" s="7"/>
      <c r="Z48" s="7"/>
    </row>
    <row r="49" spans="2:26" ht="12.75" customHeight="1">
      <c r="B49" s="1398">
        <v>23</v>
      </c>
      <c r="C49" s="1402"/>
      <c r="D49" s="2439"/>
      <c r="E49" s="2439"/>
      <c r="F49" s="1402"/>
      <c r="G49" s="1402"/>
      <c r="H49" s="103"/>
      <c r="I49" s="1401"/>
      <c r="J49" s="1395" t="str">
        <f t="shared" si="2"/>
        <v/>
      </c>
      <c r="K49" s="1400"/>
      <c r="L49" s="103"/>
      <c r="M49" s="1393" t="str">
        <f t="shared" si="3"/>
        <v/>
      </c>
      <c r="N49" s="1392" t="str">
        <f t="shared" si="1"/>
        <v/>
      </c>
      <c r="O49" s="1391"/>
      <c r="P49" s="1390"/>
      <c r="Q49" s="621"/>
      <c r="R49" s="621"/>
      <c r="S49" s="621"/>
      <c r="T49" s="7"/>
      <c r="V49" s="78"/>
      <c r="W49" s="7"/>
      <c r="X49" s="7"/>
      <c r="Y49" s="7"/>
      <c r="Z49" s="7"/>
    </row>
    <row r="50" spans="2:26" ht="12.75" customHeight="1">
      <c r="B50" s="1398">
        <v>24</v>
      </c>
      <c r="C50" s="1402"/>
      <c r="D50" s="2439"/>
      <c r="E50" s="2439"/>
      <c r="F50" s="1402"/>
      <c r="G50" s="1402"/>
      <c r="H50" s="103"/>
      <c r="I50" s="1401"/>
      <c r="J50" s="1395" t="str">
        <f t="shared" si="2"/>
        <v/>
      </c>
      <c r="K50" s="1400"/>
      <c r="L50" s="103"/>
      <c r="M50" s="1393" t="str">
        <f t="shared" si="3"/>
        <v/>
      </c>
      <c r="N50" s="1392" t="str">
        <f t="shared" si="1"/>
        <v/>
      </c>
      <c r="O50" s="1391"/>
      <c r="P50" s="1390"/>
      <c r="Q50" s="621"/>
      <c r="R50" s="621"/>
      <c r="S50" s="621"/>
      <c r="T50" s="7"/>
      <c r="V50" s="78"/>
      <c r="W50" s="7"/>
      <c r="X50" s="7"/>
      <c r="Y50" s="7"/>
      <c r="Z50" s="7"/>
    </row>
    <row r="51" spans="2:26" ht="12.75" customHeight="1">
      <c r="B51" s="1398">
        <v>25</v>
      </c>
      <c r="C51" s="1402"/>
      <c r="D51" s="2439"/>
      <c r="E51" s="2439"/>
      <c r="F51" s="1402"/>
      <c r="G51" s="1402"/>
      <c r="H51" s="103"/>
      <c r="I51" s="1401"/>
      <c r="J51" s="1395" t="str">
        <f t="shared" si="2"/>
        <v/>
      </c>
      <c r="K51" s="1400"/>
      <c r="L51" s="103"/>
      <c r="M51" s="1393" t="str">
        <f t="shared" si="3"/>
        <v/>
      </c>
      <c r="N51" s="1392" t="str">
        <f t="shared" si="1"/>
        <v/>
      </c>
      <c r="O51" s="1391"/>
      <c r="P51" s="1390"/>
      <c r="Q51" s="621"/>
      <c r="R51" s="621"/>
      <c r="S51" s="621"/>
      <c r="T51" s="7"/>
      <c r="V51" s="78"/>
      <c r="W51" s="7"/>
      <c r="X51" s="7"/>
      <c r="Y51" s="7"/>
      <c r="Z51" s="7"/>
    </row>
    <row r="52" spans="2:26" ht="12.75" customHeight="1">
      <c r="B52" s="1398">
        <v>26</v>
      </c>
      <c r="C52" s="1402"/>
      <c r="D52" s="2439"/>
      <c r="E52" s="2439"/>
      <c r="F52" s="1402"/>
      <c r="G52" s="1402"/>
      <c r="H52" s="103"/>
      <c r="I52" s="1401"/>
      <c r="J52" s="1395" t="str">
        <f t="shared" si="2"/>
        <v/>
      </c>
      <c r="K52" s="1400"/>
      <c r="L52" s="103"/>
      <c r="M52" s="1393" t="str">
        <f t="shared" si="3"/>
        <v/>
      </c>
      <c r="N52" s="1392" t="str">
        <f t="shared" si="1"/>
        <v/>
      </c>
      <c r="O52" s="1391"/>
      <c r="P52" s="1390"/>
      <c r="Q52" s="621"/>
      <c r="R52" s="621"/>
      <c r="S52" s="621"/>
      <c r="T52" s="7"/>
      <c r="V52" s="78"/>
      <c r="W52" s="7"/>
      <c r="X52" s="7"/>
      <c r="Y52" s="7"/>
      <c r="Z52" s="7"/>
    </row>
    <row r="53" spans="2:26" ht="12.75" customHeight="1">
      <c r="B53" s="1398">
        <v>27</v>
      </c>
      <c r="C53" s="1402"/>
      <c r="D53" s="2439"/>
      <c r="E53" s="2439"/>
      <c r="F53" s="1402"/>
      <c r="G53" s="1402"/>
      <c r="H53" s="103"/>
      <c r="I53" s="1401"/>
      <c r="J53" s="1395" t="str">
        <f t="shared" si="2"/>
        <v/>
      </c>
      <c r="K53" s="1400"/>
      <c r="L53" s="103"/>
      <c r="M53" s="1393" t="str">
        <f t="shared" si="3"/>
        <v/>
      </c>
      <c r="N53" s="1392" t="str">
        <f t="shared" si="1"/>
        <v/>
      </c>
      <c r="O53" s="1391"/>
      <c r="P53" s="1390"/>
      <c r="Q53" s="621"/>
      <c r="R53" s="621"/>
      <c r="S53" s="621"/>
      <c r="T53" s="7"/>
      <c r="V53" s="78"/>
      <c r="W53" s="7"/>
      <c r="X53" s="7"/>
      <c r="Y53" s="7"/>
      <c r="Z53" s="7"/>
    </row>
    <row r="54" spans="2:26" ht="12.75" customHeight="1">
      <c r="B54" s="1398">
        <v>28</v>
      </c>
      <c r="C54" s="1402"/>
      <c r="D54" s="2439"/>
      <c r="E54" s="2439"/>
      <c r="F54" s="1402"/>
      <c r="G54" s="1402"/>
      <c r="H54" s="103"/>
      <c r="I54" s="1401"/>
      <c r="J54" s="1395" t="str">
        <f t="shared" si="2"/>
        <v/>
      </c>
      <c r="K54" s="1400"/>
      <c r="L54" s="103"/>
      <c r="M54" s="1393" t="str">
        <f t="shared" si="3"/>
        <v/>
      </c>
      <c r="N54" s="1392" t="str">
        <f t="shared" si="1"/>
        <v/>
      </c>
      <c r="O54" s="1391"/>
      <c r="P54" s="1390"/>
      <c r="Q54" s="621"/>
      <c r="R54" s="621"/>
      <c r="S54" s="621"/>
      <c r="T54" s="7"/>
      <c r="V54" s="78"/>
      <c r="W54" s="7"/>
      <c r="X54" s="7"/>
      <c r="Y54" s="7"/>
      <c r="Z54" s="7"/>
    </row>
    <row r="55" spans="2:26" ht="12.75" customHeight="1">
      <c r="B55" s="1398">
        <v>29</v>
      </c>
      <c r="C55" s="1402"/>
      <c r="D55" s="2439"/>
      <c r="E55" s="2439"/>
      <c r="F55" s="1402"/>
      <c r="G55" s="1402"/>
      <c r="H55" s="103"/>
      <c r="I55" s="1401"/>
      <c r="J55" s="1395" t="str">
        <f t="shared" si="2"/>
        <v/>
      </c>
      <c r="K55" s="1400"/>
      <c r="L55" s="103"/>
      <c r="M55" s="1393" t="str">
        <f t="shared" si="3"/>
        <v/>
      </c>
      <c r="N55" s="1392" t="str">
        <f t="shared" si="1"/>
        <v/>
      </c>
      <c r="O55" s="1391"/>
      <c r="P55" s="1390"/>
      <c r="Q55" s="621"/>
      <c r="R55" s="621"/>
      <c r="S55" s="621"/>
      <c r="T55" s="7"/>
      <c r="V55" s="78"/>
      <c r="W55" s="7"/>
      <c r="X55" s="7"/>
      <c r="Y55" s="7"/>
      <c r="Z55" s="7"/>
    </row>
    <row r="56" spans="2:26" ht="12.75" customHeight="1">
      <c r="B56" s="1398">
        <v>30</v>
      </c>
      <c r="C56" s="1402"/>
      <c r="D56" s="2439"/>
      <c r="E56" s="2439"/>
      <c r="F56" s="1402"/>
      <c r="G56" s="1402"/>
      <c r="H56" s="103"/>
      <c r="I56" s="1401"/>
      <c r="J56" s="1395" t="str">
        <f t="shared" si="2"/>
        <v/>
      </c>
      <c r="K56" s="1400"/>
      <c r="L56" s="103"/>
      <c r="M56" s="1393" t="str">
        <f t="shared" si="3"/>
        <v/>
      </c>
      <c r="N56" s="1392" t="str">
        <f t="shared" si="1"/>
        <v/>
      </c>
      <c r="O56" s="1391"/>
      <c r="P56" s="1390"/>
      <c r="Q56" s="621"/>
      <c r="R56" s="621"/>
      <c r="S56" s="621"/>
      <c r="T56" s="7"/>
      <c r="V56" s="78"/>
      <c r="W56" s="7"/>
      <c r="X56" s="7"/>
      <c r="Y56" s="7"/>
      <c r="Z56" s="7"/>
    </row>
    <row r="57" spans="2:26" ht="12.75" customHeight="1">
      <c r="B57" s="1398">
        <v>31</v>
      </c>
      <c r="C57" s="1402"/>
      <c r="D57" s="2439"/>
      <c r="E57" s="2439"/>
      <c r="F57" s="1402"/>
      <c r="G57" s="1402"/>
      <c r="H57" s="103"/>
      <c r="I57" s="1401"/>
      <c r="J57" s="1395" t="str">
        <f t="shared" si="2"/>
        <v/>
      </c>
      <c r="K57" s="1400"/>
      <c r="L57" s="103"/>
      <c r="M57" s="1393" t="str">
        <f t="shared" si="3"/>
        <v/>
      </c>
      <c r="N57" s="1392" t="str">
        <f t="shared" si="1"/>
        <v/>
      </c>
      <c r="O57" s="1391"/>
      <c r="P57" s="1390"/>
      <c r="Q57" s="621"/>
      <c r="R57" s="621"/>
      <c r="S57" s="621"/>
      <c r="T57" s="7"/>
      <c r="V57" s="78"/>
      <c r="W57" s="7"/>
      <c r="X57" s="7"/>
      <c r="Y57" s="7"/>
      <c r="Z57" s="7"/>
    </row>
    <row r="58" spans="2:26" ht="12.75" customHeight="1">
      <c r="B58" s="1398">
        <v>32</v>
      </c>
      <c r="C58" s="1402"/>
      <c r="D58" s="2439"/>
      <c r="E58" s="2439"/>
      <c r="F58" s="1402"/>
      <c r="G58" s="1402"/>
      <c r="H58" s="103"/>
      <c r="I58" s="1401"/>
      <c r="J58" s="1395" t="str">
        <f t="shared" si="2"/>
        <v/>
      </c>
      <c r="K58" s="1400"/>
      <c r="L58" s="103"/>
      <c r="M58" s="1393" t="str">
        <f t="shared" si="3"/>
        <v/>
      </c>
      <c r="N58" s="1392" t="str">
        <f t="shared" si="1"/>
        <v/>
      </c>
      <c r="O58" s="1391"/>
      <c r="P58" s="1390"/>
      <c r="Q58" s="621"/>
      <c r="R58" s="621"/>
      <c r="S58" s="621"/>
      <c r="T58" s="7"/>
      <c r="V58" s="78"/>
      <c r="W58" s="7"/>
      <c r="X58" s="7"/>
      <c r="Y58" s="7"/>
      <c r="Z58" s="7"/>
    </row>
    <row r="59" spans="2:26" ht="12.75" customHeight="1">
      <c r="B59" s="1398">
        <v>33</v>
      </c>
      <c r="C59" s="1402"/>
      <c r="D59" s="2439"/>
      <c r="E59" s="2439"/>
      <c r="F59" s="1402"/>
      <c r="G59" s="1402"/>
      <c r="H59" s="103"/>
      <c r="I59" s="1401"/>
      <c r="J59" s="1395" t="str">
        <f t="shared" si="2"/>
        <v/>
      </c>
      <c r="K59" s="1400"/>
      <c r="L59" s="103"/>
      <c r="M59" s="1393" t="str">
        <f t="shared" si="3"/>
        <v/>
      </c>
      <c r="N59" s="1392" t="str">
        <f t="shared" ref="N59:N90" si="4">IFERROR(IF(G59="Vacant","NA",I59/(L59/12)),"")</f>
        <v/>
      </c>
      <c r="O59" s="1391"/>
      <c r="P59" s="1390"/>
      <c r="Q59" s="621"/>
      <c r="R59" s="621"/>
      <c r="S59" s="621"/>
      <c r="T59" s="7"/>
      <c r="V59" s="78"/>
      <c r="W59" s="7"/>
      <c r="X59" s="7"/>
      <c r="Y59" s="7"/>
      <c r="Z59" s="7"/>
    </row>
    <row r="60" spans="2:26" ht="12.75" customHeight="1">
      <c r="B60" s="1398">
        <v>34</v>
      </c>
      <c r="C60" s="1402"/>
      <c r="D60" s="2439"/>
      <c r="E60" s="2439"/>
      <c r="F60" s="1402"/>
      <c r="G60" s="1402"/>
      <c r="H60" s="103"/>
      <c r="I60" s="1401"/>
      <c r="J60" s="1395" t="str">
        <f t="shared" ref="J60:J91" si="5">IF($Q$23&gt;=B60,H60-I60,"")</f>
        <v/>
      </c>
      <c r="K60" s="1400"/>
      <c r="L60" s="103"/>
      <c r="M60" s="1393" t="str">
        <f t="shared" si="3"/>
        <v/>
      </c>
      <c r="N60" s="1392" t="str">
        <f t="shared" si="4"/>
        <v/>
      </c>
      <c r="O60" s="1391"/>
      <c r="P60" s="1390"/>
      <c r="Q60" s="621"/>
      <c r="R60" s="621"/>
      <c r="S60" s="621"/>
      <c r="T60" s="7"/>
      <c r="V60" s="78"/>
      <c r="W60" s="7"/>
      <c r="X60" s="7"/>
      <c r="Y60" s="7"/>
      <c r="Z60" s="7"/>
    </row>
    <row r="61" spans="2:26" ht="12.75" customHeight="1">
      <c r="B61" s="1398">
        <v>35</v>
      </c>
      <c r="C61" s="1402"/>
      <c r="D61" s="2439"/>
      <c r="E61" s="2439"/>
      <c r="F61" s="1402"/>
      <c r="G61" s="1402"/>
      <c r="H61" s="103"/>
      <c r="I61" s="1401"/>
      <c r="J61" s="1395" t="str">
        <f t="shared" si="5"/>
        <v/>
      </c>
      <c r="K61" s="1400"/>
      <c r="L61" s="103"/>
      <c r="M61" s="1393" t="str">
        <f t="shared" si="3"/>
        <v/>
      </c>
      <c r="N61" s="1392" t="str">
        <f t="shared" si="4"/>
        <v/>
      </c>
      <c r="O61" s="1391"/>
      <c r="P61" s="1390"/>
      <c r="Q61" s="621"/>
      <c r="R61" s="621"/>
      <c r="S61" s="621"/>
      <c r="T61" s="7"/>
      <c r="V61" s="78"/>
      <c r="W61" s="7"/>
      <c r="X61" s="7"/>
      <c r="Y61" s="7"/>
      <c r="Z61" s="7"/>
    </row>
    <row r="62" spans="2:26" ht="12.75" customHeight="1">
      <c r="B62" s="1398">
        <v>36</v>
      </c>
      <c r="C62" s="1402"/>
      <c r="D62" s="2439"/>
      <c r="E62" s="2439"/>
      <c r="F62" s="1402"/>
      <c r="G62" s="1402"/>
      <c r="H62" s="103"/>
      <c r="I62" s="1401"/>
      <c r="J62" s="1395" t="str">
        <f t="shared" si="5"/>
        <v/>
      </c>
      <c r="K62" s="1400"/>
      <c r="L62" s="103"/>
      <c r="M62" s="1393" t="str">
        <f t="shared" si="3"/>
        <v/>
      </c>
      <c r="N62" s="1392" t="str">
        <f t="shared" si="4"/>
        <v/>
      </c>
      <c r="O62" s="1391"/>
      <c r="P62" s="1390"/>
      <c r="Q62" s="621"/>
      <c r="R62" s="621"/>
      <c r="S62" s="621"/>
      <c r="T62" s="7"/>
      <c r="V62" s="78"/>
      <c r="W62" s="7"/>
      <c r="X62" s="7"/>
      <c r="Y62" s="7"/>
      <c r="Z62" s="7"/>
    </row>
    <row r="63" spans="2:26" ht="12.75" customHeight="1">
      <c r="B63" s="1398">
        <v>37</v>
      </c>
      <c r="C63" s="1402"/>
      <c r="D63" s="2439"/>
      <c r="E63" s="2439"/>
      <c r="F63" s="1402"/>
      <c r="G63" s="1402"/>
      <c r="H63" s="103"/>
      <c r="I63" s="1401"/>
      <c r="J63" s="1395" t="str">
        <f t="shared" si="5"/>
        <v/>
      </c>
      <c r="K63" s="1400"/>
      <c r="L63" s="103"/>
      <c r="M63" s="1393" t="str">
        <f t="shared" si="3"/>
        <v/>
      </c>
      <c r="N63" s="1392" t="str">
        <f t="shared" si="4"/>
        <v/>
      </c>
      <c r="O63" s="1391"/>
      <c r="P63" s="1390"/>
      <c r="Q63" s="621"/>
      <c r="R63" s="621"/>
      <c r="S63" s="621"/>
      <c r="T63" s="7"/>
      <c r="V63" s="78"/>
      <c r="W63" s="7"/>
      <c r="X63" s="7"/>
      <c r="Y63" s="7"/>
      <c r="Z63" s="7"/>
    </row>
    <row r="64" spans="2:26" ht="12.75" customHeight="1">
      <c r="B64" s="1398">
        <v>38</v>
      </c>
      <c r="C64" s="1402"/>
      <c r="D64" s="2439"/>
      <c r="E64" s="2439"/>
      <c r="F64" s="1402"/>
      <c r="G64" s="1402"/>
      <c r="H64" s="103"/>
      <c r="I64" s="1401"/>
      <c r="J64" s="1395" t="str">
        <f t="shared" si="5"/>
        <v/>
      </c>
      <c r="K64" s="1400"/>
      <c r="L64" s="103"/>
      <c r="M64" s="1393" t="str">
        <f t="shared" si="3"/>
        <v/>
      </c>
      <c r="N64" s="1392" t="str">
        <f t="shared" si="4"/>
        <v/>
      </c>
      <c r="O64" s="1391"/>
      <c r="P64" s="1390"/>
      <c r="Q64" s="621"/>
      <c r="R64" s="621"/>
      <c r="S64" s="621"/>
      <c r="T64" s="7"/>
      <c r="V64" s="78"/>
      <c r="W64" s="7"/>
      <c r="X64" s="7"/>
      <c r="Y64" s="7"/>
      <c r="Z64" s="7"/>
    </row>
    <row r="65" spans="2:26" ht="12.75" customHeight="1">
      <c r="B65" s="1398">
        <v>39</v>
      </c>
      <c r="C65" s="1402"/>
      <c r="D65" s="2439"/>
      <c r="E65" s="2439"/>
      <c r="F65" s="1402"/>
      <c r="G65" s="1402"/>
      <c r="H65" s="103"/>
      <c r="I65" s="1401"/>
      <c r="J65" s="1395" t="str">
        <f t="shared" si="5"/>
        <v/>
      </c>
      <c r="K65" s="1400"/>
      <c r="L65" s="103"/>
      <c r="M65" s="1393" t="str">
        <f t="shared" si="3"/>
        <v/>
      </c>
      <c r="N65" s="1392" t="str">
        <f t="shared" si="4"/>
        <v/>
      </c>
      <c r="O65" s="1391"/>
      <c r="P65" s="1390"/>
      <c r="Q65" s="621"/>
      <c r="R65" s="621"/>
      <c r="S65" s="621"/>
      <c r="T65" s="7"/>
      <c r="V65" s="78"/>
      <c r="W65" s="7"/>
      <c r="X65" s="7"/>
      <c r="Y65" s="7"/>
      <c r="Z65" s="7"/>
    </row>
    <row r="66" spans="2:26" ht="12.75" customHeight="1">
      <c r="B66" s="1398">
        <v>40</v>
      </c>
      <c r="C66" s="1402"/>
      <c r="D66" s="2439"/>
      <c r="E66" s="2439"/>
      <c r="F66" s="1402"/>
      <c r="G66" s="1402"/>
      <c r="H66" s="103"/>
      <c r="I66" s="1401"/>
      <c r="J66" s="1395" t="str">
        <f t="shared" si="5"/>
        <v/>
      </c>
      <c r="K66" s="1400"/>
      <c r="L66" s="103"/>
      <c r="M66" s="1393" t="str">
        <f t="shared" si="3"/>
        <v/>
      </c>
      <c r="N66" s="1392" t="str">
        <f t="shared" si="4"/>
        <v/>
      </c>
      <c r="O66" s="1391"/>
      <c r="P66" s="1390"/>
      <c r="Q66" s="621"/>
      <c r="R66" s="621"/>
      <c r="S66" s="621"/>
      <c r="T66" s="7"/>
      <c r="V66" s="78"/>
      <c r="W66" s="7"/>
      <c r="X66" s="7"/>
      <c r="Y66" s="7"/>
      <c r="Z66" s="7"/>
    </row>
    <row r="67" spans="2:26" ht="12.75" customHeight="1">
      <c r="B67" s="1398">
        <v>41</v>
      </c>
      <c r="C67" s="1402"/>
      <c r="D67" s="2439"/>
      <c r="E67" s="2439"/>
      <c r="F67" s="1402"/>
      <c r="G67" s="1402"/>
      <c r="H67" s="103"/>
      <c r="I67" s="1401"/>
      <c r="J67" s="1395" t="str">
        <f t="shared" si="5"/>
        <v/>
      </c>
      <c r="K67" s="1400"/>
      <c r="L67" s="103"/>
      <c r="M67" s="1393" t="str">
        <f t="shared" si="3"/>
        <v/>
      </c>
      <c r="N67" s="1392" t="str">
        <f t="shared" si="4"/>
        <v/>
      </c>
      <c r="O67" s="1391"/>
      <c r="P67" s="1390"/>
      <c r="Q67" s="621"/>
      <c r="R67" s="621"/>
      <c r="S67" s="621"/>
      <c r="T67" s="7"/>
      <c r="V67" s="78"/>
      <c r="W67" s="7"/>
      <c r="X67" s="7"/>
      <c r="Y67" s="7"/>
      <c r="Z67" s="7"/>
    </row>
    <row r="68" spans="2:26" ht="12.75" customHeight="1">
      <c r="B68" s="1398">
        <v>42</v>
      </c>
      <c r="C68" s="1402"/>
      <c r="D68" s="2439"/>
      <c r="E68" s="2439"/>
      <c r="F68" s="1402"/>
      <c r="G68" s="1402"/>
      <c r="H68" s="103"/>
      <c r="I68" s="1401"/>
      <c r="J68" s="1395" t="str">
        <f t="shared" si="5"/>
        <v/>
      </c>
      <c r="K68" s="1400"/>
      <c r="L68" s="103"/>
      <c r="M68" s="1393" t="str">
        <f t="shared" si="3"/>
        <v/>
      </c>
      <c r="N68" s="1392" t="str">
        <f t="shared" si="4"/>
        <v/>
      </c>
      <c r="O68" s="1391"/>
      <c r="P68" s="1390"/>
      <c r="Q68" s="621"/>
      <c r="R68" s="621"/>
      <c r="S68" s="621"/>
      <c r="T68" s="7"/>
      <c r="V68" s="78"/>
      <c r="W68" s="7"/>
      <c r="X68" s="7"/>
      <c r="Y68" s="7"/>
      <c r="Z68" s="7"/>
    </row>
    <row r="69" spans="2:26" ht="12.75" customHeight="1">
      <c r="B69" s="1398">
        <v>43</v>
      </c>
      <c r="C69" s="1402"/>
      <c r="D69" s="2439"/>
      <c r="E69" s="2439"/>
      <c r="F69" s="1402"/>
      <c r="G69" s="1402"/>
      <c r="H69" s="103"/>
      <c r="I69" s="1401"/>
      <c r="J69" s="1395" t="str">
        <f t="shared" si="5"/>
        <v/>
      </c>
      <c r="K69" s="1400"/>
      <c r="L69" s="103"/>
      <c r="M69" s="1393" t="str">
        <f t="shared" si="3"/>
        <v/>
      </c>
      <c r="N69" s="1392" t="str">
        <f t="shared" si="4"/>
        <v/>
      </c>
      <c r="O69" s="1391"/>
      <c r="P69" s="1390"/>
      <c r="Q69" s="621"/>
      <c r="R69" s="621"/>
      <c r="S69" s="621"/>
      <c r="T69" s="7"/>
      <c r="V69" s="78"/>
      <c r="W69" s="7"/>
      <c r="X69" s="7"/>
      <c r="Y69" s="7"/>
      <c r="Z69" s="7"/>
    </row>
    <row r="70" spans="2:26" ht="12.75" customHeight="1">
      <c r="B70" s="1398">
        <v>44</v>
      </c>
      <c r="C70" s="1402"/>
      <c r="D70" s="2439"/>
      <c r="E70" s="2439"/>
      <c r="F70" s="1402"/>
      <c r="G70" s="1402"/>
      <c r="H70" s="103"/>
      <c r="I70" s="1401"/>
      <c r="J70" s="1395" t="str">
        <f t="shared" si="5"/>
        <v/>
      </c>
      <c r="K70" s="1400"/>
      <c r="L70" s="103"/>
      <c r="M70" s="1393" t="str">
        <f t="shared" si="3"/>
        <v/>
      </c>
      <c r="N70" s="1392" t="str">
        <f t="shared" si="4"/>
        <v/>
      </c>
      <c r="O70" s="1391"/>
      <c r="P70" s="1390"/>
      <c r="Q70" s="621"/>
      <c r="R70" s="621"/>
      <c r="S70" s="621"/>
      <c r="T70" s="7"/>
      <c r="V70" s="78"/>
      <c r="W70" s="7"/>
      <c r="X70" s="7"/>
      <c r="Y70" s="7"/>
      <c r="Z70" s="7"/>
    </row>
    <row r="71" spans="2:26" ht="12.75" customHeight="1">
      <c r="B71" s="1398">
        <v>45</v>
      </c>
      <c r="C71" s="1402"/>
      <c r="D71" s="2439"/>
      <c r="E71" s="2439"/>
      <c r="F71" s="1402"/>
      <c r="G71" s="1402"/>
      <c r="H71" s="103"/>
      <c r="I71" s="1401"/>
      <c r="J71" s="1395" t="str">
        <f t="shared" si="5"/>
        <v/>
      </c>
      <c r="K71" s="1400"/>
      <c r="L71" s="103"/>
      <c r="M71" s="1393" t="str">
        <f t="shared" si="3"/>
        <v/>
      </c>
      <c r="N71" s="1392" t="str">
        <f t="shared" si="4"/>
        <v/>
      </c>
      <c r="O71" s="1391"/>
      <c r="P71" s="1390"/>
      <c r="Q71" s="621"/>
      <c r="R71" s="621"/>
      <c r="S71" s="621"/>
      <c r="T71" s="7"/>
      <c r="V71" s="78"/>
      <c r="W71" s="7"/>
      <c r="X71" s="7"/>
      <c r="Y71" s="7"/>
      <c r="Z71" s="7"/>
    </row>
    <row r="72" spans="2:26" ht="12.75" customHeight="1">
      <c r="B72" s="1398">
        <v>46</v>
      </c>
      <c r="C72" s="1402"/>
      <c r="D72" s="2439"/>
      <c r="E72" s="2439"/>
      <c r="F72" s="1402"/>
      <c r="G72" s="1402"/>
      <c r="H72" s="103"/>
      <c r="I72" s="1401"/>
      <c r="J72" s="1395" t="str">
        <f t="shared" si="5"/>
        <v/>
      </c>
      <c r="K72" s="1400"/>
      <c r="L72" s="103"/>
      <c r="M72" s="1393" t="str">
        <f t="shared" si="3"/>
        <v/>
      </c>
      <c r="N72" s="1392" t="str">
        <f t="shared" si="4"/>
        <v/>
      </c>
      <c r="O72" s="1391"/>
      <c r="P72" s="1390"/>
      <c r="Q72" s="621"/>
      <c r="R72" s="621"/>
      <c r="S72" s="621"/>
      <c r="T72" s="7"/>
      <c r="V72" s="78"/>
      <c r="W72" s="7"/>
      <c r="X72" s="7"/>
      <c r="Y72" s="7"/>
      <c r="Z72" s="7"/>
    </row>
    <row r="73" spans="2:26" ht="12.75" customHeight="1">
      <c r="B73" s="1398">
        <v>47</v>
      </c>
      <c r="C73" s="1402"/>
      <c r="D73" s="2439"/>
      <c r="E73" s="2439"/>
      <c r="F73" s="1402"/>
      <c r="G73" s="1402"/>
      <c r="H73" s="103"/>
      <c r="I73" s="1401"/>
      <c r="J73" s="1395" t="str">
        <f t="shared" si="5"/>
        <v/>
      </c>
      <c r="K73" s="1400"/>
      <c r="L73" s="103"/>
      <c r="M73" s="1393" t="str">
        <f t="shared" ref="M73:M104" si="6">IF(G73="Vacant","NA",IF(G73=1,(L73/$E$17),IF(G73=2,(L73/$E$18),IF(G73=3,(L73/$E$19),IF(G73=4,(L73/$E$20),IF(G73=5,(L73/$E$21),IF(G73=6,(L73/$E$22),IF(G73=7,(L73/$E$23),IF(G73=8,(L73/$E$24),IF(G73=9,(L73/W58),IF(G73=10,(L73/W59),"")))))))))))</f>
        <v/>
      </c>
      <c r="N73" s="1392" t="str">
        <f t="shared" si="4"/>
        <v/>
      </c>
      <c r="O73" s="1391"/>
      <c r="P73" s="1390"/>
      <c r="Q73" s="621"/>
      <c r="R73" s="621"/>
      <c r="S73" s="621"/>
      <c r="T73" s="7"/>
      <c r="V73" s="78"/>
      <c r="W73" s="7"/>
      <c r="X73" s="7"/>
      <c r="Y73" s="7"/>
      <c r="Z73" s="7"/>
    </row>
    <row r="74" spans="2:26" ht="12.75" customHeight="1">
      <c r="B74" s="1398">
        <v>48</v>
      </c>
      <c r="C74" s="1402"/>
      <c r="D74" s="2439"/>
      <c r="E74" s="2439"/>
      <c r="F74" s="1402"/>
      <c r="G74" s="1402"/>
      <c r="H74" s="103"/>
      <c r="I74" s="1401"/>
      <c r="J74" s="1395" t="str">
        <f t="shared" si="5"/>
        <v/>
      </c>
      <c r="K74" s="1400"/>
      <c r="L74" s="103"/>
      <c r="M74" s="1393" t="str">
        <f t="shared" si="6"/>
        <v/>
      </c>
      <c r="N74" s="1392" t="str">
        <f t="shared" si="4"/>
        <v/>
      </c>
      <c r="O74" s="1391"/>
      <c r="P74" s="1390"/>
      <c r="Q74" s="621"/>
      <c r="R74" s="621"/>
      <c r="S74" s="621"/>
      <c r="T74" s="7"/>
      <c r="V74" s="78"/>
      <c r="W74" s="7"/>
      <c r="X74" s="7"/>
      <c r="Y74" s="7"/>
      <c r="Z74" s="7"/>
    </row>
    <row r="75" spans="2:26" ht="12.75" customHeight="1">
      <c r="B75" s="1398">
        <v>49</v>
      </c>
      <c r="C75" s="1402"/>
      <c r="D75" s="2439"/>
      <c r="E75" s="2439"/>
      <c r="F75" s="1402"/>
      <c r="G75" s="1402"/>
      <c r="H75" s="103"/>
      <c r="I75" s="1401"/>
      <c r="J75" s="1395" t="str">
        <f t="shared" si="5"/>
        <v/>
      </c>
      <c r="K75" s="1400"/>
      <c r="L75" s="103"/>
      <c r="M75" s="1393" t="str">
        <f t="shared" si="6"/>
        <v/>
      </c>
      <c r="N75" s="1392" t="str">
        <f t="shared" si="4"/>
        <v/>
      </c>
      <c r="O75" s="1391"/>
      <c r="P75" s="1390"/>
      <c r="Q75" s="621"/>
      <c r="R75" s="621"/>
      <c r="S75" s="621"/>
      <c r="T75" s="7"/>
      <c r="V75" s="78"/>
      <c r="W75" s="7"/>
      <c r="X75" s="7"/>
      <c r="Y75" s="7"/>
      <c r="Z75" s="7"/>
    </row>
    <row r="76" spans="2:26" ht="12.75" customHeight="1">
      <c r="B76" s="1398">
        <v>50</v>
      </c>
      <c r="C76" s="1402"/>
      <c r="D76" s="2439"/>
      <c r="E76" s="2439"/>
      <c r="F76" s="1402"/>
      <c r="G76" s="1402"/>
      <c r="H76" s="103"/>
      <c r="I76" s="1401"/>
      <c r="J76" s="1395" t="str">
        <f t="shared" si="5"/>
        <v/>
      </c>
      <c r="K76" s="1400"/>
      <c r="L76" s="103"/>
      <c r="M76" s="1393" t="str">
        <f t="shared" si="6"/>
        <v/>
      </c>
      <c r="N76" s="1392" t="str">
        <f t="shared" si="4"/>
        <v/>
      </c>
      <c r="O76" s="1391"/>
      <c r="P76" s="1390"/>
      <c r="Q76" s="621"/>
      <c r="R76" s="621"/>
      <c r="S76" s="621"/>
      <c r="T76" s="7"/>
      <c r="V76" s="78"/>
      <c r="W76" s="7"/>
      <c r="X76" s="7"/>
      <c r="Y76" s="7"/>
      <c r="Z76" s="7"/>
    </row>
    <row r="77" spans="2:26" ht="12.75" customHeight="1">
      <c r="B77" s="1398">
        <v>51</v>
      </c>
      <c r="C77" s="1402"/>
      <c r="D77" s="2439"/>
      <c r="E77" s="2439"/>
      <c r="F77" s="1402"/>
      <c r="G77" s="1402"/>
      <c r="H77" s="103"/>
      <c r="I77" s="1401"/>
      <c r="J77" s="1395" t="str">
        <f t="shared" si="5"/>
        <v/>
      </c>
      <c r="K77" s="1400"/>
      <c r="L77" s="103"/>
      <c r="M77" s="1393" t="str">
        <f t="shared" si="6"/>
        <v/>
      </c>
      <c r="N77" s="1392" t="str">
        <f t="shared" si="4"/>
        <v/>
      </c>
      <c r="O77" s="1391"/>
      <c r="P77" s="1390"/>
      <c r="Q77" s="621"/>
      <c r="R77" s="621"/>
      <c r="S77" s="621"/>
      <c r="T77" s="7"/>
      <c r="V77" s="78"/>
      <c r="W77" s="7"/>
      <c r="X77" s="7"/>
      <c r="Y77" s="7"/>
      <c r="Z77" s="7"/>
    </row>
    <row r="78" spans="2:26" ht="12.75" customHeight="1">
      <c r="B78" s="1398">
        <v>52</v>
      </c>
      <c r="C78" s="1402"/>
      <c r="D78" s="2439"/>
      <c r="E78" s="2439"/>
      <c r="F78" s="1402"/>
      <c r="G78" s="1402"/>
      <c r="H78" s="103"/>
      <c r="I78" s="1401"/>
      <c r="J78" s="1395" t="str">
        <f t="shared" si="5"/>
        <v/>
      </c>
      <c r="K78" s="1400"/>
      <c r="L78" s="103"/>
      <c r="M78" s="1393" t="str">
        <f t="shared" si="6"/>
        <v/>
      </c>
      <c r="N78" s="1392" t="str">
        <f t="shared" si="4"/>
        <v/>
      </c>
      <c r="O78" s="1391"/>
      <c r="P78" s="1390"/>
      <c r="Q78" s="621"/>
      <c r="R78" s="621"/>
      <c r="S78" s="621"/>
      <c r="T78" s="7"/>
      <c r="V78" s="78"/>
      <c r="W78" s="7"/>
      <c r="X78" s="7"/>
      <c r="Y78" s="7"/>
      <c r="Z78" s="7"/>
    </row>
    <row r="79" spans="2:26" ht="12.75" customHeight="1">
      <c r="B79" s="1398">
        <v>53</v>
      </c>
      <c r="C79" s="1402"/>
      <c r="D79" s="2439"/>
      <c r="E79" s="2439"/>
      <c r="F79" s="1402"/>
      <c r="G79" s="1402"/>
      <c r="H79" s="103"/>
      <c r="I79" s="1401"/>
      <c r="J79" s="1395" t="str">
        <f t="shared" si="5"/>
        <v/>
      </c>
      <c r="K79" s="1400"/>
      <c r="L79" s="103"/>
      <c r="M79" s="1393" t="str">
        <f t="shared" si="6"/>
        <v/>
      </c>
      <c r="N79" s="1392" t="str">
        <f t="shared" si="4"/>
        <v/>
      </c>
      <c r="O79" s="1391"/>
      <c r="P79" s="1390"/>
      <c r="Q79" s="621"/>
      <c r="R79" s="621"/>
      <c r="S79" s="621"/>
      <c r="T79" s="7"/>
      <c r="V79" s="78"/>
      <c r="W79" s="7"/>
      <c r="X79" s="7"/>
      <c r="Y79" s="7"/>
      <c r="Z79" s="7"/>
    </row>
    <row r="80" spans="2:26" ht="12.75" customHeight="1">
      <c r="B80" s="1398">
        <v>54</v>
      </c>
      <c r="C80" s="1402"/>
      <c r="D80" s="2439"/>
      <c r="E80" s="2439"/>
      <c r="F80" s="1402"/>
      <c r="G80" s="1402"/>
      <c r="H80" s="103"/>
      <c r="I80" s="1401"/>
      <c r="J80" s="1395" t="str">
        <f t="shared" si="5"/>
        <v/>
      </c>
      <c r="K80" s="1400"/>
      <c r="L80" s="103"/>
      <c r="M80" s="1393" t="str">
        <f t="shared" si="6"/>
        <v/>
      </c>
      <c r="N80" s="1392" t="str">
        <f t="shared" si="4"/>
        <v/>
      </c>
      <c r="O80" s="1391"/>
      <c r="P80" s="1390"/>
      <c r="Q80" s="621"/>
      <c r="R80" s="621"/>
      <c r="S80" s="621"/>
      <c r="T80" s="7"/>
      <c r="V80" s="78"/>
      <c r="W80" s="7"/>
      <c r="X80" s="7"/>
      <c r="Y80" s="7"/>
      <c r="Z80" s="7"/>
    </row>
    <row r="81" spans="2:26" ht="12.75" customHeight="1">
      <c r="B81" s="1398">
        <v>55</v>
      </c>
      <c r="C81" s="1402"/>
      <c r="D81" s="2439"/>
      <c r="E81" s="2439"/>
      <c r="F81" s="1402"/>
      <c r="G81" s="1402"/>
      <c r="H81" s="103"/>
      <c r="I81" s="1401"/>
      <c r="J81" s="1395" t="str">
        <f t="shared" si="5"/>
        <v/>
      </c>
      <c r="K81" s="1400"/>
      <c r="L81" s="103"/>
      <c r="M81" s="1393" t="str">
        <f t="shared" si="6"/>
        <v/>
      </c>
      <c r="N81" s="1392" t="str">
        <f t="shared" si="4"/>
        <v/>
      </c>
      <c r="O81" s="1391"/>
      <c r="P81" s="1390"/>
      <c r="Q81" s="621"/>
      <c r="R81" s="621"/>
      <c r="S81" s="621"/>
      <c r="T81" s="7"/>
      <c r="V81" s="78"/>
      <c r="W81" s="7"/>
      <c r="X81" s="7"/>
      <c r="Y81" s="7"/>
      <c r="Z81" s="7"/>
    </row>
    <row r="82" spans="2:26" ht="12.75" customHeight="1">
      <c r="B82" s="1398">
        <v>56</v>
      </c>
      <c r="C82" s="1402"/>
      <c r="D82" s="2439"/>
      <c r="E82" s="2439"/>
      <c r="F82" s="1402"/>
      <c r="G82" s="1402"/>
      <c r="H82" s="103"/>
      <c r="I82" s="1401"/>
      <c r="J82" s="1395" t="str">
        <f t="shared" si="5"/>
        <v/>
      </c>
      <c r="K82" s="1400"/>
      <c r="L82" s="103"/>
      <c r="M82" s="1393" t="str">
        <f t="shared" si="6"/>
        <v/>
      </c>
      <c r="N82" s="1392" t="str">
        <f t="shared" si="4"/>
        <v/>
      </c>
      <c r="O82" s="1391"/>
      <c r="P82" s="1390"/>
      <c r="Q82" s="621"/>
      <c r="R82" s="621"/>
      <c r="S82" s="621"/>
      <c r="T82" s="7"/>
      <c r="V82" s="78"/>
      <c r="W82" s="7"/>
      <c r="X82" s="7"/>
      <c r="Y82" s="7"/>
      <c r="Z82" s="7"/>
    </row>
    <row r="83" spans="2:26" ht="12.75" customHeight="1">
      <c r="B83" s="1398">
        <v>57</v>
      </c>
      <c r="C83" s="1402"/>
      <c r="D83" s="2439"/>
      <c r="E83" s="2439"/>
      <c r="F83" s="1402"/>
      <c r="G83" s="1402"/>
      <c r="H83" s="103"/>
      <c r="I83" s="1401"/>
      <c r="J83" s="1395" t="str">
        <f t="shared" si="5"/>
        <v/>
      </c>
      <c r="K83" s="1400"/>
      <c r="L83" s="103"/>
      <c r="M83" s="1393" t="str">
        <f t="shared" si="6"/>
        <v/>
      </c>
      <c r="N83" s="1392" t="str">
        <f t="shared" si="4"/>
        <v/>
      </c>
      <c r="O83" s="1391"/>
      <c r="P83" s="1390"/>
      <c r="Q83" s="621"/>
      <c r="R83" s="621"/>
      <c r="S83" s="621"/>
      <c r="T83" s="7"/>
      <c r="V83" s="78"/>
      <c r="W83" s="7"/>
      <c r="X83" s="7"/>
      <c r="Y83" s="7"/>
      <c r="Z83" s="7"/>
    </row>
    <row r="84" spans="2:26" ht="12.75" customHeight="1">
      <c r="B84" s="1398">
        <v>58</v>
      </c>
      <c r="C84" s="1402"/>
      <c r="D84" s="2439"/>
      <c r="E84" s="2439"/>
      <c r="F84" s="1402"/>
      <c r="G84" s="1402"/>
      <c r="H84" s="103"/>
      <c r="I84" s="1401"/>
      <c r="J84" s="1395" t="str">
        <f t="shared" si="5"/>
        <v/>
      </c>
      <c r="K84" s="1400"/>
      <c r="L84" s="103"/>
      <c r="M84" s="1393" t="str">
        <f t="shared" si="6"/>
        <v/>
      </c>
      <c r="N84" s="1392" t="str">
        <f t="shared" si="4"/>
        <v/>
      </c>
      <c r="O84" s="1391"/>
      <c r="P84" s="1390"/>
      <c r="Q84" s="621"/>
      <c r="R84" s="621"/>
      <c r="S84" s="621"/>
      <c r="T84" s="7"/>
      <c r="V84" s="78"/>
      <c r="W84" s="7"/>
      <c r="X84" s="7"/>
      <c r="Y84" s="7"/>
      <c r="Z84" s="7"/>
    </row>
    <row r="85" spans="2:26" ht="12.75" customHeight="1">
      <c r="B85" s="1398">
        <v>59</v>
      </c>
      <c r="C85" s="1402"/>
      <c r="D85" s="2439"/>
      <c r="E85" s="2439"/>
      <c r="F85" s="1402"/>
      <c r="G85" s="1402"/>
      <c r="H85" s="103"/>
      <c r="I85" s="1401"/>
      <c r="J85" s="1395" t="str">
        <f t="shared" si="5"/>
        <v/>
      </c>
      <c r="K85" s="1400"/>
      <c r="L85" s="103"/>
      <c r="M85" s="1393" t="str">
        <f t="shared" si="6"/>
        <v/>
      </c>
      <c r="N85" s="1392" t="str">
        <f t="shared" si="4"/>
        <v/>
      </c>
      <c r="O85" s="1391"/>
      <c r="P85" s="1390"/>
      <c r="Q85" s="621"/>
      <c r="R85" s="621"/>
      <c r="S85" s="621"/>
      <c r="T85" s="7"/>
      <c r="V85" s="78"/>
      <c r="W85" s="7"/>
      <c r="X85" s="7"/>
      <c r="Y85" s="7"/>
      <c r="Z85" s="7"/>
    </row>
    <row r="86" spans="2:26" ht="12.75" customHeight="1">
      <c r="B86" s="1398">
        <v>60</v>
      </c>
      <c r="C86" s="1402"/>
      <c r="D86" s="2439"/>
      <c r="E86" s="2439"/>
      <c r="F86" s="1402"/>
      <c r="G86" s="1402"/>
      <c r="H86" s="103"/>
      <c r="I86" s="1401"/>
      <c r="J86" s="1395" t="str">
        <f t="shared" si="5"/>
        <v/>
      </c>
      <c r="K86" s="1400"/>
      <c r="L86" s="103"/>
      <c r="M86" s="1393" t="str">
        <f t="shared" si="6"/>
        <v/>
      </c>
      <c r="N86" s="1392" t="str">
        <f t="shared" si="4"/>
        <v/>
      </c>
      <c r="O86" s="1391"/>
      <c r="P86" s="1390"/>
      <c r="Q86" s="621"/>
      <c r="R86" s="621"/>
      <c r="S86" s="621"/>
      <c r="T86" s="7"/>
      <c r="V86" s="78"/>
      <c r="W86" s="7"/>
      <c r="X86" s="7"/>
      <c r="Y86" s="7"/>
      <c r="Z86" s="7"/>
    </row>
    <row r="87" spans="2:26" ht="12.75" customHeight="1">
      <c r="B87" s="1398">
        <v>61</v>
      </c>
      <c r="C87" s="1402"/>
      <c r="D87" s="2439"/>
      <c r="E87" s="2439"/>
      <c r="F87" s="1402"/>
      <c r="G87" s="1402"/>
      <c r="H87" s="103"/>
      <c r="I87" s="1401"/>
      <c r="J87" s="1395" t="str">
        <f t="shared" si="5"/>
        <v/>
      </c>
      <c r="K87" s="1400"/>
      <c r="L87" s="103"/>
      <c r="M87" s="1393" t="str">
        <f t="shared" si="6"/>
        <v/>
      </c>
      <c r="N87" s="1392" t="str">
        <f t="shared" si="4"/>
        <v/>
      </c>
      <c r="O87" s="1391"/>
      <c r="P87" s="1390"/>
      <c r="Q87" s="621"/>
      <c r="R87" s="621"/>
      <c r="S87" s="621"/>
      <c r="T87" s="7"/>
      <c r="V87" s="78"/>
      <c r="W87" s="7"/>
      <c r="X87" s="7"/>
      <c r="Y87" s="7"/>
      <c r="Z87" s="7"/>
    </row>
    <row r="88" spans="2:26" ht="12.75" customHeight="1">
      <c r="B88" s="1398">
        <v>62</v>
      </c>
      <c r="C88" s="1402"/>
      <c r="D88" s="2439"/>
      <c r="E88" s="2439"/>
      <c r="F88" s="1402"/>
      <c r="G88" s="1402"/>
      <c r="H88" s="103"/>
      <c r="I88" s="1401"/>
      <c r="J88" s="1395" t="str">
        <f t="shared" si="5"/>
        <v/>
      </c>
      <c r="K88" s="1400"/>
      <c r="L88" s="103"/>
      <c r="M88" s="1393" t="str">
        <f t="shared" si="6"/>
        <v/>
      </c>
      <c r="N88" s="1392" t="str">
        <f t="shared" si="4"/>
        <v/>
      </c>
      <c r="O88" s="1391"/>
      <c r="P88" s="1390"/>
      <c r="Q88" s="621"/>
      <c r="R88" s="621"/>
      <c r="S88" s="621"/>
      <c r="T88" s="7"/>
      <c r="V88" s="78"/>
      <c r="W88" s="7"/>
      <c r="X88" s="7"/>
      <c r="Y88" s="7"/>
      <c r="Z88" s="7"/>
    </row>
    <row r="89" spans="2:26" ht="12.75" customHeight="1">
      <c r="B89" s="1398">
        <v>63</v>
      </c>
      <c r="C89" s="1402"/>
      <c r="D89" s="2439"/>
      <c r="E89" s="2439"/>
      <c r="F89" s="1402"/>
      <c r="G89" s="1402"/>
      <c r="H89" s="103"/>
      <c r="I89" s="1401"/>
      <c r="J89" s="1395" t="str">
        <f t="shared" si="5"/>
        <v/>
      </c>
      <c r="K89" s="1400"/>
      <c r="L89" s="103"/>
      <c r="M89" s="1393" t="str">
        <f t="shared" si="6"/>
        <v/>
      </c>
      <c r="N89" s="1392" t="str">
        <f t="shared" si="4"/>
        <v/>
      </c>
      <c r="O89" s="1391"/>
      <c r="P89" s="1390"/>
      <c r="Q89" s="621"/>
      <c r="R89" s="621"/>
      <c r="S89" s="621"/>
      <c r="T89" s="7"/>
      <c r="V89" s="78"/>
      <c r="W89" s="7"/>
      <c r="X89" s="7"/>
      <c r="Y89" s="7"/>
      <c r="Z89" s="7"/>
    </row>
    <row r="90" spans="2:26" ht="12.75" customHeight="1">
      <c r="B90" s="1398">
        <v>64</v>
      </c>
      <c r="C90" s="1402"/>
      <c r="D90" s="2439"/>
      <c r="E90" s="2439"/>
      <c r="F90" s="1402"/>
      <c r="G90" s="1402"/>
      <c r="H90" s="103"/>
      <c r="I90" s="1401"/>
      <c r="J90" s="1395" t="str">
        <f t="shared" si="5"/>
        <v/>
      </c>
      <c r="K90" s="1400"/>
      <c r="L90" s="103"/>
      <c r="M90" s="1393" t="str">
        <f t="shared" si="6"/>
        <v/>
      </c>
      <c r="N90" s="1392" t="str">
        <f t="shared" si="4"/>
        <v/>
      </c>
      <c r="O90" s="1391"/>
      <c r="P90" s="1390"/>
      <c r="Q90" s="621"/>
      <c r="R90" s="621"/>
      <c r="S90" s="621"/>
      <c r="T90" s="7"/>
      <c r="V90" s="78"/>
      <c r="W90" s="7"/>
      <c r="X90" s="7"/>
      <c r="Y90" s="7"/>
      <c r="Z90" s="7"/>
    </row>
    <row r="91" spans="2:26" ht="12.75" customHeight="1">
      <c r="B91" s="1398">
        <v>65</v>
      </c>
      <c r="C91" s="1402"/>
      <c r="D91" s="2439"/>
      <c r="E91" s="2439"/>
      <c r="F91" s="1402"/>
      <c r="G91" s="1402"/>
      <c r="H91" s="103"/>
      <c r="I91" s="1401"/>
      <c r="J91" s="1395" t="str">
        <f t="shared" si="5"/>
        <v/>
      </c>
      <c r="K91" s="1400"/>
      <c r="L91" s="103"/>
      <c r="M91" s="1393" t="str">
        <f t="shared" si="6"/>
        <v/>
      </c>
      <c r="N91" s="1392" t="str">
        <f t="shared" ref="N91:N122" si="7">IFERROR(IF(G91="Vacant","NA",I91/(L91/12)),"")</f>
        <v/>
      </c>
      <c r="O91" s="1391"/>
      <c r="P91" s="1390"/>
      <c r="Q91" s="621"/>
      <c r="R91" s="621"/>
      <c r="S91" s="621"/>
      <c r="T91" s="7"/>
      <c r="V91" s="78"/>
      <c r="W91" s="7"/>
      <c r="X91" s="7"/>
      <c r="Y91" s="7"/>
      <c r="Z91" s="7"/>
    </row>
    <row r="92" spans="2:26" ht="12.75" customHeight="1">
      <c r="B92" s="1398">
        <v>66</v>
      </c>
      <c r="C92" s="1402"/>
      <c r="D92" s="2439"/>
      <c r="E92" s="2439"/>
      <c r="F92" s="1402"/>
      <c r="G92" s="1402"/>
      <c r="H92" s="103"/>
      <c r="I92" s="1401"/>
      <c r="J92" s="1395" t="str">
        <f t="shared" ref="J92:J123" si="8">IF($Q$23&gt;=B92,H92-I92,"")</f>
        <v/>
      </c>
      <c r="K92" s="1400"/>
      <c r="L92" s="103"/>
      <c r="M92" s="1393" t="str">
        <f t="shared" si="6"/>
        <v/>
      </c>
      <c r="N92" s="1392" t="str">
        <f t="shared" si="7"/>
        <v/>
      </c>
      <c r="O92" s="1391"/>
      <c r="P92" s="1390"/>
      <c r="Q92" s="621"/>
      <c r="R92" s="621"/>
      <c r="S92" s="621"/>
      <c r="T92" s="7"/>
      <c r="V92" s="78"/>
      <c r="W92" s="7"/>
      <c r="X92" s="7"/>
      <c r="Y92" s="7"/>
      <c r="Z92" s="7"/>
    </row>
    <row r="93" spans="2:26" ht="12.75" customHeight="1">
      <c r="B93" s="1398">
        <v>67</v>
      </c>
      <c r="C93" s="1402"/>
      <c r="D93" s="2439"/>
      <c r="E93" s="2439"/>
      <c r="F93" s="1402"/>
      <c r="G93" s="1402"/>
      <c r="H93" s="103"/>
      <c r="I93" s="1401"/>
      <c r="J93" s="1395" t="str">
        <f t="shared" si="8"/>
        <v/>
      </c>
      <c r="K93" s="1400"/>
      <c r="L93" s="103"/>
      <c r="M93" s="1393" t="str">
        <f t="shared" si="6"/>
        <v/>
      </c>
      <c r="N93" s="1392" t="str">
        <f t="shared" si="7"/>
        <v/>
      </c>
      <c r="O93" s="1391"/>
      <c r="P93" s="1390"/>
      <c r="Q93" s="621"/>
      <c r="R93" s="621"/>
      <c r="S93" s="621"/>
      <c r="T93" s="7"/>
      <c r="V93" s="78"/>
      <c r="W93" s="7"/>
      <c r="X93" s="7"/>
      <c r="Y93" s="7"/>
      <c r="Z93" s="7"/>
    </row>
    <row r="94" spans="2:26" ht="12.75" customHeight="1">
      <c r="B94" s="1398">
        <v>68</v>
      </c>
      <c r="C94" s="1402"/>
      <c r="D94" s="2439"/>
      <c r="E94" s="2439"/>
      <c r="F94" s="1402"/>
      <c r="G94" s="1402"/>
      <c r="H94" s="103"/>
      <c r="I94" s="1401"/>
      <c r="J94" s="1395" t="str">
        <f t="shared" si="8"/>
        <v/>
      </c>
      <c r="K94" s="1400"/>
      <c r="L94" s="103"/>
      <c r="M94" s="1393" t="str">
        <f t="shared" si="6"/>
        <v/>
      </c>
      <c r="N94" s="1392" t="str">
        <f t="shared" si="7"/>
        <v/>
      </c>
      <c r="O94" s="1391"/>
      <c r="P94" s="1390"/>
      <c r="Q94" s="621"/>
      <c r="R94" s="621"/>
      <c r="S94" s="621"/>
      <c r="T94" s="7"/>
      <c r="V94" s="78"/>
      <c r="W94" s="7"/>
      <c r="X94" s="7"/>
      <c r="Y94" s="7"/>
      <c r="Z94" s="7"/>
    </row>
    <row r="95" spans="2:26" ht="12.75" customHeight="1">
      <c r="B95" s="1398">
        <v>69</v>
      </c>
      <c r="C95" s="1402"/>
      <c r="D95" s="2439"/>
      <c r="E95" s="2439"/>
      <c r="F95" s="1402"/>
      <c r="G95" s="1402"/>
      <c r="H95" s="103"/>
      <c r="I95" s="1401"/>
      <c r="J95" s="1395" t="str">
        <f t="shared" si="8"/>
        <v/>
      </c>
      <c r="K95" s="1400"/>
      <c r="L95" s="103"/>
      <c r="M95" s="1393" t="str">
        <f t="shared" si="6"/>
        <v/>
      </c>
      <c r="N95" s="1392" t="str">
        <f t="shared" si="7"/>
        <v/>
      </c>
      <c r="O95" s="1391"/>
      <c r="P95" s="1390"/>
      <c r="Q95" s="621"/>
      <c r="R95" s="621"/>
      <c r="S95" s="621"/>
      <c r="T95" s="7"/>
      <c r="V95" s="78"/>
      <c r="W95" s="7"/>
      <c r="X95" s="7"/>
      <c r="Y95" s="7"/>
      <c r="Z95" s="7"/>
    </row>
    <row r="96" spans="2:26" ht="12.75" customHeight="1">
      <c r="B96" s="1398">
        <v>70</v>
      </c>
      <c r="C96" s="1402"/>
      <c r="D96" s="2439"/>
      <c r="E96" s="2439"/>
      <c r="F96" s="1402"/>
      <c r="G96" s="1402"/>
      <c r="H96" s="103"/>
      <c r="I96" s="1401"/>
      <c r="J96" s="1395" t="str">
        <f t="shared" si="8"/>
        <v/>
      </c>
      <c r="K96" s="1400"/>
      <c r="L96" s="103"/>
      <c r="M96" s="1393" t="str">
        <f t="shared" si="6"/>
        <v/>
      </c>
      <c r="N96" s="1392" t="str">
        <f t="shared" si="7"/>
        <v/>
      </c>
      <c r="O96" s="1391"/>
      <c r="P96" s="1390"/>
      <c r="Q96" s="621"/>
      <c r="R96" s="621"/>
      <c r="S96" s="621"/>
      <c r="T96" s="7"/>
      <c r="V96" s="78"/>
      <c r="W96" s="7"/>
      <c r="X96" s="7"/>
      <c r="Y96" s="7"/>
      <c r="Z96" s="7"/>
    </row>
    <row r="97" spans="2:26" ht="12.75" customHeight="1">
      <c r="B97" s="1398">
        <v>71</v>
      </c>
      <c r="C97" s="1402"/>
      <c r="D97" s="2439"/>
      <c r="E97" s="2439"/>
      <c r="F97" s="1402"/>
      <c r="G97" s="1402"/>
      <c r="H97" s="103"/>
      <c r="I97" s="1401"/>
      <c r="J97" s="1395" t="str">
        <f t="shared" si="8"/>
        <v/>
      </c>
      <c r="K97" s="1400"/>
      <c r="L97" s="103"/>
      <c r="M97" s="1393" t="str">
        <f t="shared" si="6"/>
        <v/>
      </c>
      <c r="N97" s="1392" t="str">
        <f t="shared" si="7"/>
        <v/>
      </c>
      <c r="O97" s="1391"/>
      <c r="P97" s="1390"/>
      <c r="Q97" s="621"/>
      <c r="R97" s="621"/>
      <c r="S97" s="621"/>
      <c r="T97" s="7"/>
      <c r="V97" s="78"/>
      <c r="W97" s="7"/>
      <c r="X97" s="7"/>
      <c r="Y97" s="7"/>
      <c r="Z97" s="7"/>
    </row>
    <row r="98" spans="2:26" ht="12.75" customHeight="1">
      <c r="B98" s="1398">
        <v>72</v>
      </c>
      <c r="C98" s="1402"/>
      <c r="D98" s="2439"/>
      <c r="E98" s="2439"/>
      <c r="F98" s="1402"/>
      <c r="G98" s="1402"/>
      <c r="H98" s="103"/>
      <c r="I98" s="1401"/>
      <c r="J98" s="1395" t="str">
        <f t="shared" si="8"/>
        <v/>
      </c>
      <c r="K98" s="1400"/>
      <c r="L98" s="103"/>
      <c r="M98" s="1393" t="str">
        <f t="shared" si="6"/>
        <v/>
      </c>
      <c r="N98" s="1392" t="str">
        <f t="shared" si="7"/>
        <v/>
      </c>
      <c r="O98" s="1391"/>
      <c r="P98" s="1390"/>
      <c r="Q98" s="621"/>
      <c r="R98" s="621"/>
      <c r="S98" s="621"/>
      <c r="T98" s="7"/>
      <c r="V98" s="78"/>
      <c r="W98" s="7"/>
      <c r="X98" s="7"/>
      <c r="Y98" s="7"/>
      <c r="Z98" s="7"/>
    </row>
    <row r="99" spans="2:26" ht="12.75" customHeight="1">
      <c r="B99" s="1398">
        <v>73</v>
      </c>
      <c r="C99" s="1402"/>
      <c r="D99" s="2439"/>
      <c r="E99" s="2439"/>
      <c r="F99" s="1402"/>
      <c r="G99" s="1402"/>
      <c r="H99" s="103"/>
      <c r="I99" s="1401"/>
      <c r="J99" s="1395" t="str">
        <f t="shared" si="8"/>
        <v/>
      </c>
      <c r="K99" s="1400"/>
      <c r="L99" s="103"/>
      <c r="M99" s="1393" t="str">
        <f t="shared" si="6"/>
        <v/>
      </c>
      <c r="N99" s="1392" t="str">
        <f t="shared" si="7"/>
        <v/>
      </c>
      <c r="O99" s="1391"/>
      <c r="P99" s="1390"/>
      <c r="Q99" s="621"/>
      <c r="R99" s="621"/>
      <c r="S99" s="621"/>
      <c r="T99" s="7"/>
      <c r="V99" s="78"/>
      <c r="W99" s="7"/>
      <c r="X99" s="7"/>
      <c r="Y99" s="7"/>
      <c r="Z99" s="7"/>
    </row>
    <row r="100" spans="2:26" ht="12.75" customHeight="1">
      <c r="B100" s="1398">
        <v>74</v>
      </c>
      <c r="C100" s="1402"/>
      <c r="D100" s="2439"/>
      <c r="E100" s="2439"/>
      <c r="F100" s="1402"/>
      <c r="G100" s="1402"/>
      <c r="H100" s="103"/>
      <c r="I100" s="1401"/>
      <c r="J100" s="1395" t="str">
        <f t="shared" si="8"/>
        <v/>
      </c>
      <c r="K100" s="1400"/>
      <c r="L100" s="103"/>
      <c r="M100" s="1393" t="str">
        <f t="shared" si="6"/>
        <v/>
      </c>
      <c r="N100" s="1392" t="str">
        <f t="shared" si="7"/>
        <v/>
      </c>
      <c r="O100" s="1391"/>
      <c r="P100" s="1390"/>
      <c r="Q100" s="621"/>
      <c r="R100" s="621"/>
      <c r="S100" s="621"/>
      <c r="T100" s="7"/>
      <c r="V100" s="78"/>
      <c r="W100" s="7"/>
      <c r="X100" s="7"/>
      <c r="Y100" s="7"/>
      <c r="Z100" s="7"/>
    </row>
    <row r="101" spans="2:26" ht="12.75" customHeight="1">
      <c r="B101" s="1398">
        <v>75</v>
      </c>
      <c r="C101" s="1402"/>
      <c r="D101" s="2439"/>
      <c r="E101" s="2439"/>
      <c r="F101" s="1402"/>
      <c r="G101" s="1402"/>
      <c r="H101" s="103"/>
      <c r="I101" s="1401"/>
      <c r="J101" s="1395" t="str">
        <f t="shared" si="8"/>
        <v/>
      </c>
      <c r="K101" s="1400"/>
      <c r="L101" s="103"/>
      <c r="M101" s="1393" t="str">
        <f t="shared" si="6"/>
        <v/>
      </c>
      <c r="N101" s="1392" t="str">
        <f t="shared" si="7"/>
        <v/>
      </c>
      <c r="O101" s="1391"/>
      <c r="P101" s="1390"/>
      <c r="Q101" s="621"/>
      <c r="R101" s="621"/>
      <c r="S101" s="621"/>
      <c r="T101" s="7"/>
      <c r="V101" s="78"/>
      <c r="W101" s="7"/>
      <c r="X101" s="7"/>
      <c r="Y101" s="7"/>
      <c r="Z101" s="7"/>
    </row>
    <row r="102" spans="2:26" ht="12.75" customHeight="1">
      <c r="B102" s="1398">
        <v>76</v>
      </c>
      <c r="C102" s="1402"/>
      <c r="D102" s="2439"/>
      <c r="E102" s="2439"/>
      <c r="F102" s="1402"/>
      <c r="G102" s="1402"/>
      <c r="H102" s="103"/>
      <c r="I102" s="1401"/>
      <c r="J102" s="1395" t="str">
        <f t="shared" si="8"/>
        <v/>
      </c>
      <c r="K102" s="1400"/>
      <c r="L102" s="103"/>
      <c r="M102" s="1393" t="str">
        <f t="shared" si="6"/>
        <v/>
      </c>
      <c r="N102" s="1392" t="str">
        <f t="shared" si="7"/>
        <v/>
      </c>
      <c r="O102" s="1391"/>
      <c r="P102" s="1390"/>
      <c r="Q102" s="621"/>
      <c r="R102" s="621"/>
      <c r="S102" s="621"/>
      <c r="T102" s="7"/>
      <c r="V102" s="78"/>
      <c r="W102" s="7"/>
      <c r="X102" s="7"/>
      <c r="Y102" s="7"/>
      <c r="Z102" s="7"/>
    </row>
    <row r="103" spans="2:26" ht="12.75" customHeight="1">
      <c r="B103" s="1398">
        <v>77</v>
      </c>
      <c r="C103" s="1402"/>
      <c r="D103" s="2439"/>
      <c r="E103" s="2439"/>
      <c r="F103" s="1402"/>
      <c r="G103" s="1402"/>
      <c r="H103" s="103"/>
      <c r="I103" s="1401"/>
      <c r="J103" s="1395" t="str">
        <f t="shared" si="8"/>
        <v/>
      </c>
      <c r="K103" s="1400"/>
      <c r="L103" s="103"/>
      <c r="M103" s="1393" t="str">
        <f t="shared" si="6"/>
        <v/>
      </c>
      <c r="N103" s="1392" t="str">
        <f t="shared" si="7"/>
        <v/>
      </c>
      <c r="O103" s="1391"/>
      <c r="P103" s="1390"/>
      <c r="Q103" s="621"/>
      <c r="R103" s="621"/>
      <c r="S103" s="621"/>
      <c r="T103" s="7"/>
      <c r="V103" s="78"/>
      <c r="W103" s="7"/>
      <c r="X103" s="7"/>
      <c r="Y103" s="7"/>
      <c r="Z103" s="7"/>
    </row>
    <row r="104" spans="2:26" ht="12.75" customHeight="1">
      <c r="B104" s="1398">
        <v>78</v>
      </c>
      <c r="C104" s="1402"/>
      <c r="D104" s="2439"/>
      <c r="E104" s="2439"/>
      <c r="F104" s="1402"/>
      <c r="G104" s="1402"/>
      <c r="H104" s="103"/>
      <c r="I104" s="1401"/>
      <c r="J104" s="1395" t="str">
        <f t="shared" si="8"/>
        <v/>
      </c>
      <c r="K104" s="1400"/>
      <c r="L104" s="103"/>
      <c r="M104" s="1393" t="str">
        <f t="shared" si="6"/>
        <v/>
      </c>
      <c r="N104" s="1392" t="str">
        <f t="shared" si="7"/>
        <v/>
      </c>
      <c r="O104" s="1391"/>
      <c r="P104" s="1390"/>
      <c r="Q104" s="621"/>
      <c r="R104" s="621"/>
      <c r="S104" s="621"/>
      <c r="T104" s="7"/>
      <c r="V104" s="78"/>
      <c r="W104" s="7"/>
      <c r="X104" s="7"/>
      <c r="Y104" s="7"/>
      <c r="Z104" s="7"/>
    </row>
    <row r="105" spans="2:26" ht="12.75" customHeight="1">
      <c r="B105" s="1398">
        <v>79</v>
      </c>
      <c r="C105" s="1402"/>
      <c r="D105" s="2439"/>
      <c r="E105" s="2439"/>
      <c r="F105" s="1402"/>
      <c r="G105" s="1402"/>
      <c r="H105" s="103"/>
      <c r="I105" s="1401"/>
      <c r="J105" s="1395" t="str">
        <f t="shared" si="8"/>
        <v/>
      </c>
      <c r="K105" s="1400"/>
      <c r="L105" s="103"/>
      <c r="M105" s="1393" t="str">
        <f t="shared" ref="M105:M136" si="9">IF(G105="Vacant","NA",IF(G105=1,(L105/$E$17),IF(G105=2,(L105/$E$18),IF(G105=3,(L105/$E$19),IF(G105=4,(L105/$E$20),IF(G105=5,(L105/$E$21),IF(G105=6,(L105/$E$22),IF(G105=7,(L105/$E$23),IF(G105=8,(L105/$E$24),IF(G105=9,(L105/W90),IF(G105=10,(L105/W91),"")))))))))))</f>
        <v/>
      </c>
      <c r="N105" s="1392" t="str">
        <f t="shared" si="7"/>
        <v/>
      </c>
      <c r="O105" s="1391"/>
      <c r="P105" s="1390"/>
      <c r="Q105" s="621"/>
      <c r="R105" s="621"/>
      <c r="S105" s="621"/>
      <c r="T105" s="7"/>
      <c r="V105" s="78"/>
      <c r="W105" s="7"/>
      <c r="X105" s="7"/>
      <c r="Y105" s="7"/>
      <c r="Z105" s="7"/>
    </row>
    <row r="106" spans="2:26" ht="12.75" customHeight="1">
      <c r="B106" s="1398">
        <v>80</v>
      </c>
      <c r="C106" s="1402"/>
      <c r="D106" s="2439"/>
      <c r="E106" s="2439"/>
      <c r="F106" s="1402"/>
      <c r="G106" s="1402"/>
      <c r="H106" s="103"/>
      <c r="I106" s="1401"/>
      <c r="J106" s="1395" t="str">
        <f t="shared" si="8"/>
        <v/>
      </c>
      <c r="K106" s="1400"/>
      <c r="L106" s="103"/>
      <c r="M106" s="1393" t="str">
        <f t="shared" si="9"/>
        <v/>
      </c>
      <c r="N106" s="1392" t="str">
        <f t="shared" si="7"/>
        <v/>
      </c>
      <c r="O106" s="1391"/>
      <c r="P106" s="1390"/>
      <c r="Q106" s="621"/>
      <c r="R106" s="621"/>
      <c r="S106" s="621"/>
      <c r="T106" s="7"/>
      <c r="V106" s="78"/>
      <c r="W106" s="7"/>
      <c r="X106" s="7"/>
      <c r="Y106" s="7"/>
      <c r="Z106" s="7"/>
    </row>
    <row r="107" spans="2:26" ht="12.75" customHeight="1">
      <c r="B107" s="1398">
        <v>81</v>
      </c>
      <c r="C107" s="1402"/>
      <c r="D107" s="2439"/>
      <c r="E107" s="2439"/>
      <c r="F107" s="1402"/>
      <c r="G107" s="1402"/>
      <c r="H107" s="103"/>
      <c r="I107" s="1401"/>
      <c r="J107" s="1395" t="str">
        <f t="shared" si="8"/>
        <v/>
      </c>
      <c r="K107" s="1400"/>
      <c r="L107" s="103"/>
      <c r="M107" s="1393" t="str">
        <f t="shared" si="9"/>
        <v/>
      </c>
      <c r="N107" s="1392" t="str">
        <f t="shared" si="7"/>
        <v/>
      </c>
      <c r="O107" s="1391"/>
      <c r="P107" s="1390"/>
      <c r="Q107" s="621"/>
      <c r="R107" s="621"/>
      <c r="S107" s="621"/>
      <c r="T107" s="7"/>
      <c r="V107" s="78"/>
      <c r="W107" s="7"/>
      <c r="X107" s="7"/>
      <c r="Y107" s="7"/>
      <c r="Z107" s="7"/>
    </row>
    <row r="108" spans="2:26" ht="12.75" customHeight="1">
      <c r="B108" s="1398">
        <v>82</v>
      </c>
      <c r="C108" s="1402"/>
      <c r="D108" s="2439"/>
      <c r="E108" s="2439"/>
      <c r="F108" s="1402"/>
      <c r="G108" s="1402"/>
      <c r="H108" s="103"/>
      <c r="I108" s="1401"/>
      <c r="J108" s="1395" t="str">
        <f t="shared" si="8"/>
        <v/>
      </c>
      <c r="K108" s="1400"/>
      <c r="L108" s="103"/>
      <c r="M108" s="1393" t="str">
        <f t="shared" si="9"/>
        <v/>
      </c>
      <c r="N108" s="1392" t="str">
        <f t="shared" si="7"/>
        <v/>
      </c>
      <c r="O108" s="1391"/>
      <c r="P108" s="1390"/>
      <c r="Q108" s="621"/>
      <c r="R108" s="621"/>
      <c r="S108" s="621"/>
      <c r="T108" s="7"/>
      <c r="V108" s="78"/>
      <c r="W108" s="7"/>
      <c r="X108" s="7"/>
      <c r="Y108" s="7"/>
      <c r="Z108" s="7"/>
    </row>
    <row r="109" spans="2:26" ht="12.75" customHeight="1">
      <c r="B109" s="1398">
        <v>83</v>
      </c>
      <c r="C109" s="1402"/>
      <c r="D109" s="2439"/>
      <c r="E109" s="2439"/>
      <c r="F109" s="1402"/>
      <c r="G109" s="1402"/>
      <c r="H109" s="103"/>
      <c r="I109" s="1401"/>
      <c r="J109" s="1395" t="str">
        <f t="shared" si="8"/>
        <v/>
      </c>
      <c r="K109" s="1400"/>
      <c r="L109" s="103"/>
      <c r="M109" s="1393" t="str">
        <f t="shared" si="9"/>
        <v/>
      </c>
      <c r="N109" s="1392" t="str">
        <f t="shared" si="7"/>
        <v/>
      </c>
      <c r="O109" s="1391"/>
      <c r="P109" s="1390"/>
      <c r="Q109" s="621"/>
      <c r="R109" s="621"/>
      <c r="S109" s="621"/>
      <c r="V109" s="78"/>
    </row>
    <row r="110" spans="2:26" ht="12.75" customHeight="1">
      <c r="B110" s="1398">
        <v>84</v>
      </c>
      <c r="C110" s="1402"/>
      <c r="D110" s="2439"/>
      <c r="E110" s="2439"/>
      <c r="F110" s="1402"/>
      <c r="G110" s="1402"/>
      <c r="H110" s="103"/>
      <c r="I110" s="1401"/>
      <c r="J110" s="1395" t="str">
        <f t="shared" si="8"/>
        <v/>
      </c>
      <c r="K110" s="1400"/>
      <c r="L110" s="103"/>
      <c r="M110" s="1393" t="str">
        <f t="shared" si="9"/>
        <v/>
      </c>
      <c r="N110" s="1392" t="str">
        <f t="shared" si="7"/>
        <v/>
      </c>
      <c r="O110" s="1391"/>
      <c r="P110" s="1390"/>
      <c r="Q110" s="621"/>
      <c r="R110" s="621"/>
      <c r="S110" s="621"/>
      <c r="V110" s="78"/>
    </row>
    <row r="111" spans="2:26" ht="12.75" customHeight="1">
      <c r="B111" s="1398">
        <v>85</v>
      </c>
      <c r="C111" s="1402"/>
      <c r="D111" s="2439"/>
      <c r="E111" s="2439"/>
      <c r="F111" s="1402"/>
      <c r="G111" s="1402"/>
      <c r="H111" s="103"/>
      <c r="I111" s="1401"/>
      <c r="J111" s="1395" t="str">
        <f t="shared" si="8"/>
        <v/>
      </c>
      <c r="K111" s="1400"/>
      <c r="L111" s="103"/>
      <c r="M111" s="1393" t="str">
        <f t="shared" si="9"/>
        <v/>
      </c>
      <c r="N111" s="1392" t="str">
        <f t="shared" si="7"/>
        <v/>
      </c>
      <c r="O111" s="1391"/>
      <c r="P111" s="1390"/>
      <c r="Q111" s="621"/>
      <c r="R111" s="621"/>
      <c r="S111" s="621"/>
      <c r="V111" s="78"/>
    </row>
    <row r="112" spans="2:26" ht="12.75" customHeight="1">
      <c r="B112" s="1398">
        <v>86</v>
      </c>
      <c r="C112" s="1402"/>
      <c r="D112" s="2439"/>
      <c r="E112" s="2439"/>
      <c r="F112" s="1402"/>
      <c r="G112" s="1402"/>
      <c r="H112" s="103"/>
      <c r="I112" s="1401"/>
      <c r="J112" s="1395" t="str">
        <f t="shared" si="8"/>
        <v/>
      </c>
      <c r="K112" s="1400"/>
      <c r="L112" s="103"/>
      <c r="M112" s="1393" t="str">
        <f t="shared" si="9"/>
        <v/>
      </c>
      <c r="N112" s="1392" t="str">
        <f t="shared" si="7"/>
        <v/>
      </c>
      <c r="O112" s="1391"/>
      <c r="P112" s="1390"/>
      <c r="Q112" s="621"/>
      <c r="R112" s="621"/>
      <c r="S112" s="621"/>
      <c r="V112" s="78"/>
    </row>
    <row r="113" spans="2:22" ht="12.75" customHeight="1">
      <c r="B113" s="1398">
        <v>87</v>
      </c>
      <c r="C113" s="1402"/>
      <c r="D113" s="2439"/>
      <c r="E113" s="2439"/>
      <c r="F113" s="1402"/>
      <c r="G113" s="1402"/>
      <c r="H113" s="103"/>
      <c r="I113" s="1401"/>
      <c r="J113" s="1395" t="str">
        <f t="shared" si="8"/>
        <v/>
      </c>
      <c r="K113" s="1400"/>
      <c r="L113" s="103"/>
      <c r="M113" s="1393" t="str">
        <f t="shared" si="9"/>
        <v/>
      </c>
      <c r="N113" s="1392" t="str">
        <f t="shared" si="7"/>
        <v/>
      </c>
      <c r="O113" s="1391"/>
      <c r="P113" s="1390"/>
      <c r="Q113" s="621"/>
      <c r="R113" s="621"/>
      <c r="S113" s="621"/>
      <c r="V113" s="78"/>
    </row>
    <row r="114" spans="2:22" ht="12.75" customHeight="1">
      <c r="B114" s="1398">
        <v>88</v>
      </c>
      <c r="C114" s="1402"/>
      <c r="D114" s="2439"/>
      <c r="E114" s="2439"/>
      <c r="F114" s="1402"/>
      <c r="G114" s="1402"/>
      <c r="H114" s="103"/>
      <c r="I114" s="1401"/>
      <c r="J114" s="1395" t="str">
        <f t="shared" si="8"/>
        <v/>
      </c>
      <c r="K114" s="1400"/>
      <c r="L114" s="103"/>
      <c r="M114" s="1393" t="str">
        <f t="shared" si="9"/>
        <v/>
      </c>
      <c r="N114" s="1392" t="str">
        <f t="shared" si="7"/>
        <v/>
      </c>
      <c r="O114" s="1391"/>
      <c r="P114" s="1390"/>
      <c r="Q114" s="621"/>
      <c r="R114" s="621"/>
      <c r="S114" s="621"/>
      <c r="V114" s="78"/>
    </row>
    <row r="115" spans="2:22" ht="12.75" customHeight="1">
      <c r="B115" s="1398">
        <v>89</v>
      </c>
      <c r="C115" s="1402"/>
      <c r="D115" s="2439"/>
      <c r="E115" s="2439"/>
      <c r="F115" s="1402"/>
      <c r="G115" s="1402"/>
      <c r="H115" s="103"/>
      <c r="I115" s="1401"/>
      <c r="J115" s="1395" t="str">
        <f t="shared" si="8"/>
        <v/>
      </c>
      <c r="K115" s="1400"/>
      <c r="L115" s="103"/>
      <c r="M115" s="1393" t="str">
        <f t="shared" si="9"/>
        <v/>
      </c>
      <c r="N115" s="1392" t="str">
        <f t="shared" si="7"/>
        <v/>
      </c>
      <c r="O115" s="1391"/>
      <c r="P115" s="1390"/>
      <c r="Q115" s="621"/>
      <c r="R115" s="621"/>
      <c r="S115" s="621"/>
      <c r="V115" s="78"/>
    </row>
    <row r="116" spans="2:22" ht="12.75" customHeight="1">
      <c r="B116" s="1398">
        <v>90</v>
      </c>
      <c r="C116" s="1402"/>
      <c r="D116" s="2439"/>
      <c r="E116" s="2439"/>
      <c r="F116" s="1402"/>
      <c r="G116" s="1402"/>
      <c r="H116" s="103"/>
      <c r="I116" s="1401"/>
      <c r="J116" s="1395" t="str">
        <f t="shared" si="8"/>
        <v/>
      </c>
      <c r="K116" s="1400"/>
      <c r="L116" s="103"/>
      <c r="M116" s="1393" t="str">
        <f t="shared" si="9"/>
        <v/>
      </c>
      <c r="N116" s="1392" t="str">
        <f t="shared" si="7"/>
        <v/>
      </c>
      <c r="O116" s="1391"/>
      <c r="P116" s="1390"/>
      <c r="Q116" s="621"/>
      <c r="R116" s="621"/>
      <c r="S116" s="621"/>
      <c r="V116" s="78"/>
    </row>
    <row r="117" spans="2:22" ht="12.75" customHeight="1">
      <c r="B117" s="1398">
        <v>91</v>
      </c>
      <c r="C117" s="1402"/>
      <c r="D117" s="2439"/>
      <c r="E117" s="2439"/>
      <c r="F117" s="1402"/>
      <c r="G117" s="1402"/>
      <c r="H117" s="103"/>
      <c r="I117" s="1401"/>
      <c r="J117" s="1395" t="str">
        <f t="shared" si="8"/>
        <v/>
      </c>
      <c r="K117" s="1400"/>
      <c r="L117" s="103"/>
      <c r="M117" s="1393" t="str">
        <f t="shared" si="9"/>
        <v/>
      </c>
      <c r="N117" s="1392" t="str">
        <f t="shared" si="7"/>
        <v/>
      </c>
      <c r="O117" s="1391"/>
      <c r="P117" s="1390"/>
      <c r="Q117" s="621"/>
      <c r="R117" s="621"/>
      <c r="S117" s="621"/>
      <c r="V117" s="78"/>
    </row>
    <row r="118" spans="2:22" ht="12.75" customHeight="1">
      <c r="B118" s="1398">
        <v>92</v>
      </c>
      <c r="C118" s="1402"/>
      <c r="D118" s="2439"/>
      <c r="E118" s="2439"/>
      <c r="F118" s="1402"/>
      <c r="G118" s="1402"/>
      <c r="H118" s="103"/>
      <c r="I118" s="1401"/>
      <c r="J118" s="1395" t="str">
        <f t="shared" si="8"/>
        <v/>
      </c>
      <c r="K118" s="1400"/>
      <c r="L118" s="103"/>
      <c r="M118" s="1393" t="str">
        <f t="shared" si="9"/>
        <v/>
      </c>
      <c r="N118" s="1392" t="str">
        <f t="shared" si="7"/>
        <v/>
      </c>
      <c r="O118" s="1391"/>
      <c r="P118" s="1390"/>
      <c r="Q118" s="621"/>
      <c r="R118" s="621"/>
      <c r="S118" s="621"/>
      <c r="V118" s="78"/>
    </row>
    <row r="119" spans="2:22" ht="12.75" customHeight="1">
      <c r="B119" s="1398">
        <v>93</v>
      </c>
      <c r="C119" s="1402"/>
      <c r="D119" s="2439"/>
      <c r="E119" s="2439"/>
      <c r="F119" s="1402"/>
      <c r="G119" s="1402"/>
      <c r="H119" s="103"/>
      <c r="I119" s="1401"/>
      <c r="J119" s="1395" t="str">
        <f t="shared" si="8"/>
        <v/>
      </c>
      <c r="K119" s="1400"/>
      <c r="L119" s="103"/>
      <c r="M119" s="1393" t="str">
        <f t="shared" si="9"/>
        <v/>
      </c>
      <c r="N119" s="1392" t="str">
        <f t="shared" si="7"/>
        <v/>
      </c>
      <c r="O119" s="1391"/>
      <c r="P119" s="1390"/>
      <c r="Q119" s="621"/>
      <c r="R119" s="621"/>
      <c r="S119" s="621"/>
      <c r="V119" s="78"/>
    </row>
    <row r="120" spans="2:22" ht="12.75" customHeight="1">
      <c r="B120" s="1398">
        <v>94</v>
      </c>
      <c r="C120" s="1402"/>
      <c r="D120" s="2439"/>
      <c r="E120" s="2439"/>
      <c r="F120" s="1402"/>
      <c r="G120" s="1402"/>
      <c r="H120" s="103"/>
      <c r="I120" s="1401"/>
      <c r="J120" s="1395" t="str">
        <f t="shared" si="8"/>
        <v/>
      </c>
      <c r="K120" s="1400"/>
      <c r="L120" s="103"/>
      <c r="M120" s="1393" t="str">
        <f t="shared" si="9"/>
        <v/>
      </c>
      <c r="N120" s="1392" t="str">
        <f t="shared" si="7"/>
        <v/>
      </c>
      <c r="O120" s="1391"/>
      <c r="P120" s="1390"/>
      <c r="Q120" s="621"/>
      <c r="R120" s="621"/>
      <c r="S120" s="621"/>
      <c r="V120" s="78"/>
    </row>
    <row r="121" spans="2:22" ht="12.75" customHeight="1">
      <c r="B121" s="1398">
        <v>95</v>
      </c>
      <c r="C121" s="1402"/>
      <c r="D121" s="2439"/>
      <c r="E121" s="2439"/>
      <c r="F121" s="1402"/>
      <c r="G121" s="1402"/>
      <c r="H121" s="103"/>
      <c r="I121" s="1401"/>
      <c r="J121" s="1395" t="str">
        <f t="shared" si="8"/>
        <v/>
      </c>
      <c r="K121" s="1400"/>
      <c r="L121" s="103"/>
      <c r="M121" s="1393" t="str">
        <f t="shared" si="9"/>
        <v/>
      </c>
      <c r="N121" s="1392" t="str">
        <f t="shared" si="7"/>
        <v/>
      </c>
      <c r="O121" s="1391"/>
      <c r="P121" s="1390"/>
      <c r="Q121" s="621"/>
      <c r="R121" s="621"/>
      <c r="S121" s="621"/>
      <c r="V121" s="78"/>
    </row>
    <row r="122" spans="2:22" ht="12.75" customHeight="1">
      <c r="B122" s="1398">
        <v>96</v>
      </c>
      <c r="C122" s="1402"/>
      <c r="D122" s="2439"/>
      <c r="E122" s="2439"/>
      <c r="F122" s="1402"/>
      <c r="G122" s="1402"/>
      <c r="H122" s="103"/>
      <c r="I122" s="1401"/>
      <c r="J122" s="1395" t="str">
        <f t="shared" si="8"/>
        <v/>
      </c>
      <c r="K122" s="1400"/>
      <c r="L122" s="103"/>
      <c r="M122" s="1393" t="str">
        <f t="shared" si="9"/>
        <v/>
      </c>
      <c r="N122" s="1392" t="str">
        <f t="shared" si="7"/>
        <v/>
      </c>
      <c r="O122" s="1391"/>
      <c r="P122" s="1390"/>
      <c r="Q122" s="621"/>
      <c r="R122" s="621"/>
      <c r="S122" s="621"/>
      <c r="V122" s="78"/>
    </row>
    <row r="123" spans="2:22" ht="12.75" customHeight="1">
      <c r="B123" s="1398">
        <v>97</v>
      </c>
      <c r="C123" s="1402"/>
      <c r="D123" s="2439"/>
      <c r="E123" s="2439"/>
      <c r="F123" s="1402"/>
      <c r="G123" s="1402"/>
      <c r="H123" s="103"/>
      <c r="I123" s="1401"/>
      <c r="J123" s="1395" t="str">
        <f t="shared" si="8"/>
        <v/>
      </c>
      <c r="K123" s="1400"/>
      <c r="L123" s="103"/>
      <c r="M123" s="1393" t="str">
        <f t="shared" si="9"/>
        <v/>
      </c>
      <c r="N123" s="1392" t="str">
        <f t="shared" ref="N123:N154" si="10">IFERROR(IF(G123="Vacant","NA",I123/(L123/12)),"")</f>
        <v/>
      </c>
      <c r="O123" s="1391"/>
      <c r="P123" s="1390"/>
      <c r="Q123" s="621"/>
      <c r="R123" s="621"/>
      <c r="S123" s="621"/>
      <c r="V123" s="78"/>
    </row>
    <row r="124" spans="2:22" ht="12.75" customHeight="1">
      <c r="B124" s="1398">
        <v>98</v>
      </c>
      <c r="C124" s="1402"/>
      <c r="D124" s="2439"/>
      <c r="E124" s="2439"/>
      <c r="F124" s="1402"/>
      <c r="G124" s="1402"/>
      <c r="H124" s="103"/>
      <c r="I124" s="1401"/>
      <c r="J124" s="1395" t="str">
        <f t="shared" ref="J124:J155" si="11">IF($Q$23&gt;=B124,H124-I124,"")</f>
        <v/>
      </c>
      <c r="K124" s="1400"/>
      <c r="L124" s="103"/>
      <c r="M124" s="1393" t="str">
        <f t="shared" si="9"/>
        <v/>
      </c>
      <c r="N124" s="1392" t="str">
        <f t="shared" si="10"/>
        <v/>
      </c>
      <c r="O124" s="1391"/>
      <c r="P124" s="1390"/>
      <c r="Q124" s="621"/>
      <c r="R124" s="621"/>
      <c r="S124" s="621"/>
      <c r="V124" s="78"/>
    </row>
    <row r="125" spans="2:22" ht="12.75" customHeight="1">
      <c r="B125" s="1398">
        <v>99</v>
      </c>
      <c r="C125" s="1402"/>
      <c r="D125" s="2439"/>
      <c r="E125" s="2439"/>
      <c r="F125" s="1402"/>
      <c r="G125" s="1402"/>
      <c r="H125" s="103"/>
      <c r="I125" s="1401"/>
      <c r="J125" s="1395" t="str">
        <f t="shared" si="11"/>
        <v/>
      </c>
      <c r="K125" s="1400"/>
      <c r="L125" s="103"/>
      <c r="M125" s="1393" t="str">
        <f t="shared" si="9"/>
        <v/>
      </c>
      <c r="N125" s="1392" t="str">
        <f t="shared" si="10"/>
        <v/>
      </c>
      <c r="O125" s="1391"/>
      <c r="P125" s="1390"/>
      <c r="Q125" s="621"/>
      <c r="R125" s="621"/>
      <c r="S125" s="621"/>
      <c r="V125" s="78"/>
    </row>
    <row r="126" spans="2:22" ht="12.75" customHeight="1">
      <c r="B126" s="1398">
        <v>100</v>
      </c>
      <c r="C126" s="1402"/>
      <c r="D126" s="2439"/>
      <c r="E126" s="2439"/>
      <c r="F126" s="1402"/>
      <c r="G126" s="1402"/>
      <c r="H126" s="103"/>
      <c r="I126" s="1401"/>
      <c r="J126" s="1395" t="str">
        <f t="shared" si="11"/>
        <v/>
      </c>
      <c r="K126" s="1400"/>
      <c r="L126" s="103"/>
      <c r="M126" s="1393" t="str">
        <f t="shared" si="9"/>
        <v/>
      </c>
      <c r="N126" s="1392" t="str">
        <f t="shared" si="10"/>
        <v/>
      </c>
      <c r="O126" s="1391"/>
      <c r="P126" s="1390"/>
      <c r="Q126" s="621"/>
      <c r="R126" s="621"/>
      <c r="S126" s="621"/>
      <c r="V126" s="78"/>
    </row>
    <row r="127" spans="2:22" ht="12.75" customHeight="1">
      <c r="B127" s="1398">
        <v>101</v>
      </c>
      <c r="C127" s="1402"/>
      <c r="D127" s="2439"/>
      <c r="E127" s="2439"/>
      <c r="F127" s="1402"/>
      <c r="G127" s="1402"/>
      <c r="H127" s="103"/>
      <c r="I127" s="1401"/>
      <c r="J127" s="1395" t="str">
        <f t="shared" si="11"/>
        <v/>
      </c>
      <c r="K127" s="1400"/>
      <c r="L127" s="103"/>
      <c r="M127" s="1393" t="str">
        <f t="shared" si="9"/>
        <v/>
      </c>
      <c r="N127" s="1392" t="str">
        <f t="shared" si="10"/>
        <v/>
      </c>
      <c r="O127" s="1391"/>
      <c r="P127" s="1390"/>
      <c r="Q127" s="621"/>
      <c r="R127" s="621"/>
      <c r="S127" s="621"/>
      <c r="V127" s="78"/>
    </row>
    <row r="128" spans="2:22" ht="12.75" customHeight="1">
      <c r="B128" s="1398">
        <v>102</v>
      </c>
      <c r="C128" s="1402"/>
      <c r="D128" s="2439"/>
      <c r="E128" s="2439"/>
      <c r="F128" s="1402"/>
      <c r="G128" s="1402"/>
      <c r="H128" s="103"/>
      <c r="I128" s="1401"/>
      <c r="J128" s="1395" t="str">
        <f t="shared" si="11"/>
        <v/>
      </c>
      <c r="K128" s="1400"/>
      <c r="L128" s="103"/>
      <c r="M128" s="1393" t="str">
        <f t="shared" si="9"/>
        <v/>
      </c>
      <c r="N128" s="1392" t="str">
        <f t="shared" si="10"/>
        <v/>
      </c>
      <c r="O128" s="1391"/>
      <c r="P128" s="1390"/>
      <c r="Q128" s="621"/>
      <c r="R128" s="621"/>
      <c r="S128" s="621"/>
      <c r="V128" s="78"/>
    </row>
    <row r="129" spans="2:22" ht="12.75" customHeight="1">
      <c r="B129" s="1398">
        <v>103</v>
      </c>
      <c r="C129" s="1402"/>
      <c r="D129" s="2439"/>
      <c r="E129" s="2439"/>
      <c r="F129" s="1402"/>
      <c r="G129" s="1402"/>
      <c r="H129" s="103"/>
      <c r="I129" s="1401"/>
      <c r="J129" s="1395" t="str">
        <f t="shared" si="11"/>
        <v/>
      </c>
      <c r="K129" s="1400"/>
      <c r="L129" s="103"/>
      <c r="M129" s="1393" t="str">
        <f t="shared" si="9"/>
        <v/>
      </c>
      <c r="N129" s="1392" t="str">
        <f t="shared" si="10"/>
        <v/>
      </c>
      <c r="O129" s="1391"/>
      <c r="P129" s="1390"/>
      <c r="Q129" s="621"/>
      <c r="R129" s="621"/>
      <c r="S129" s="621"/>
      <c r="V129" s="78"/>
    </row>
    <row r="130" spans="2:22" ht="12.75" customHeight="1">
      <c r="B130" s="1398">
        <v>104</v>
      </c>
      <c r="C130" s="1402"/>
      <c r="D130" s="2439"/>
      <c r="E130" s="2439"/>
      <c r="F130" s="1402"/>
      <c r="G130" s="1402"/>
      <c r="H130" s="103"/>
      <c r="I130" s="1401"/>
      <c r="J130" s="1395" t="str">
        <f t="shared" si="11"/>
        <v/>
      </c>
      <c r="K130" s="1400"/>
      <c r="L130" s="103"/>
      <c r="M130" s="1393" t="str">
        <f t="shared" si="9"/>
        <v/>
      </c>
      <c r="N130" s="1392" t="str">
        <f t="shared" si="10"/>
        <v/>
      </c>
      <c r="O130" s="1391"/>
      <c r="P130" s="1390"/>
      <c r="Q130" s="621"/>
      <c r="R130" s="621"/>
      <c r="S130" s="621"/>
      <c r="V130" s="78"/>
    </row>
    <row r="131" spans="2:22" ht="12.75" customHeight="1">
      <c r="B131" s="1398">
        <v>105</v>
      </c>
      <c r="C131" s="1402"/>
      <c r="D131" s="2439"/>
      <c r="E131" s="2439"/>
      <c r="F131" s="1402"/>
      <c r="G131" s="1402"/>
      <c r="H131" s="103"/>
      <c r="I131" s="1401"/>
      <c r="J131" s="1395" t="str">
        <f t="shared" si="11"/>
        <v/>
      </c>
      <c r="K131" s="1400"/>
      <c r="L131" s="103"/>
      <c r="M131" s="1393" t="str">
        <f t="shared" si="9"/>
        <v/>
      </c>
      <c r="N131" s="1392" t="str">
        <f t="shared" si="10"/>
        <v/>
      </c>
      <c r="O131" s="1391"/>
      <c r="P131" s="1390"/>
      <c r="Q131" s="621"/>
      <c r="R131" s="621"/>
      <c r="S131" s="621"/>
      <c r="V131" s="78"/>
    </row>
    <row r="132" spans="2:22" ht="12.75" customHeight="1">
      <c r="B132" s="1398">
        <v>106</v>
      </c>
      <c r="C132" s="1402"/>
      <c r="D132" s="2439"/>
      <c r="E132" s="2439"/>
      <c r="F132" s="1402"/>
      <c r="G132" s="1402"/>
      <c r="H132" s="103"/>
      <c r="I132" s="1401"/>
      <c r="J132" s="1395" t="str">
        <f t="shared" si="11"/>
        <v/>
      </c>
      <c r="K132" s="1400"/>
      <c r="L132" s="103"/>
      <c r="M132" s="1393" t="str">
        <f t="shared" si="9"/>
        <v/>
      </c>
      <c r="N132" s="1392" t="str">
        <f t="shared" si="10"/>
        <v/>
      </c>
      <c r="O132" s="1391"/>
      <c r="P132" s="1390"/>
      <c r="Q132" s="621"/>
      <c r="R132" s="621"/>
      <c r="S132" s="621"/>
      <c r="V132" s="78"/>
    </row>
    <row r="133" spans="2:22" ht="12.75" customHeight="1">
      <c r="B133" s="1398">
        <v>107</v>
      </c>
      <c r="C133" s="1402"/>
      <c r="D133" s="2439"/>
      <c r="E133" s="2439"/>
      <c r="F133" s="1402"/>
      <c r="G133" s="1402"/>
      <c r="H133" s="103"/>
      <c r="I133" s="1401"/>
      <c r="J133" s="1395" t="str">
        <f t="shared" si="11"/>
        <v/>
      </c>
      <c r="K133" s="1400"/>
      <c r="L133" s="103"/>
      <c r="M133" s="1393" t="str">
        <f t="shared" si="9"/>
        <v/>
      </c>
      <c r="N133" s="1392" t="str">
        <f t="shared" si="10"/>
        <v/>
      </c>
      <c r="O133" s="1391"/>
      <c r="P133" s="1390"/>
      <c r="Q133" s="621"/>
      <c r="R133" s="621"/>
      <c r="S133" s="621"/>
      <c r="V133" s="78"/>
    </row>
    <row r="134" spans="2:22" ht="12.75" customHeight="1">
      <c r="B134" s="1398">
        <v>108</v>
      </c>
      <c r="C134" s="1402"/>
      <c r="D134" s="2439"/>
      <c r="E134" s="2439"/>
      <c r="F134" s="1402"/>
      <c r="G134" s="1402"/>
      <c r="H134" s="103"/>
      <c r="I134" s="1401"/>
      <c r="J134" s="1395" t="str">
        <f t="shared" si="11"/>
        <v/>
      </c>
      <c r="K134" s="1400"/>
      <c r="L134" s="103"/>
      <c r="M134" s="1393" t="str">
        <f t="shared" si="9"/>
        <v/>
      </c>
      <c r="N134" s="1392" t="str">
        <f t="shared" si="10"/>
        <v/>
      </c>
      <c r="O134" s="1391"/>
      <c r="P134" s="1390"/>
      <c r="Q134" s="621"/>
      <c r="R134" s="621"/>
      <c r="S134" s="621"/>
      <c r="V134" s="78"/>
    </row>
    <row r="135" spans="2:22" ht="12.75" customHeight="1">
      <c r="B135" s="1398">
        <v>109</v>
      </c>
      <c r="C135" s="1402"/>
      <c r="D135" s="2439"/>
      <c r="E135" s="2439"/>
      <c r="F135" s="1402"/>
      <c r="G135" s="1402"/>
      <c r="H135" s="103"/>
      <c r="I135" s="1401"/>
      <c r="J135" s="1395" t="str">
        <f t="shared" si="11"/>
        <v/>
      </c>
      <c r="K135" s="1400"/>
      <c r="L135" s="103"/>
      <c r="M135" s="1393" t="str">
        <f t="shared" si="9"/>
        <v/>
      </c>
      <c r="N135" s="1392" t="str">
        <f t="shared" si="10"/>
        <v/>
      </c>
      <c r="O135" s="1391"/>
      <c r="P135" s="1390"/>
      <c r="Q135" s="621"/>
      <c r="R135" s="621"/>
      <c r="S135" s="621"/>
      <c r="V135" s="78"/>
    </row>
    <row r="136" spans="2:22" ht="12.75" customHeight="1">
      <c r="B136" s="1398">
        <v>110</v>
      </c>
      <c r="C136" s="1402"/>
      <c r="D136" s="2439"/>
      <c r="E136" s="2439"/>
      <c r="F136" s="1402"/>
      <c r="G136" s="1402"/>
      <c r="H136" s="103"/>
      <c r="I136" s="1401"/>
      <c r="J136" s="1395" t="str">
        <f t="shared" si="11"/>
        <v/>
      </c>
      <c r="K136" s="1400"/>
      <c r="L136" s="103"/>
      <c r="M136" s="1393" t="str">
        <f t="shared" si="9"/>
        <v/>
      </c>
      <c r="N136" s="1392" t="str">
        <f t="shared" si="10"/>
        <v/>
      </c>
      <c r="O136" s="1391"/>
      <c r="P136" s="1390"/>
      <c r="Q136" s="621"/>
      <c r="R136" s="621"/>
      <c r="S136" s="621"/>
      <c r="V136" s="78"/>
    </row>
    <row r="137" spans="2:22" ht="12.75" customHeight="1">
      <c r="B137" s="1398">
        <v>111</v>
      </c>
      <c r="C137" s="1402"/>
      <c r="D137" s="2439"/>
      <c r="E137" s="2439"/>
      <c r="F137" s="1402"/>
      <c r="G137" s="1402"/>
      <c r="H137" s="103"/>
      <c r="I137" s="1401"/>
      <c r="J137" s="1395" t="str">
        <f t="shared" si="11"/>
        <v/>
      </c>
      <c r="K137" s="1400"/>
      <c r="L137" s="103"/>
      <c r="M137" s="1393" t="str">
        <f t="shared" ref="M137:M168" si="12">IF(G137="Vacant","NA",IF(G137=1,(L137/$E$17),IF(G137=2,(L137/$E$18),IF(G137=3,(L137/$E$19),IF(G137=4,(L137/$E$20),IF(G137=5,(L137/$E$21),IF(G137=6,(L137/$E$22),IF(G137=7,(L137/$E$23),IF(G137=8,(L137/$E$24),IF(G137=9,(L137/W122),IF(G137=10,(L137/W123),"")))))))))))</f>
        <v/>
      </c>
      <c r="N137" s="1392" t="str">
        <f t="shared" si="10"/>
        <v/>
      </c>
      <c r="O137" s="1391"/>
      <c r="P137" s="1390"/>
      <c r="Q137" s="621"/>
      <c r="R137" s="621"/>
      <c r="S137" s="621"/>
      <c r="V137" s="78"/>
    </row>
    <row r="138" spans="2:22" ht="12.75" customHeight="1">
      <c r="B138" s="1398">
        <v>112</v>
      </c>
      <c r="C138" s="1402"/>
      <c r="D138" s="2439"/>
      <c r="E138" s="2439"/>
      <c r="F138" s="1402"/>
      <c r="G138" s="1402"/>
      <c r="H138" s="103"/>
      <c r="I138" s="1401"/>
      <c r="J138" s="1395" t="str">
        <f t="shared" si="11"/>
        <v/>
      </c>
      <c r="K138" s="1400"/>
      <c r="L138" s="103"/>
      <c r="M138" s="1393" t="str">
        <f t="shared" si="12"/>
        <v/>
      </c>
      <c r="N138" s="1392" t="str">
        <f t="shared" si="10"/>
        <v/>
      </c>
      <c r="O138" s="1391"/>
      <c r="P138" s="1390"/>
      <c r="Q138" s="621"/>
      <c r="R138" s="621"/>
      <c r="S138" s="621"/>
      <c r="V138" s="78"/>
    </row>
    <row r="139" spans="2:22" ht="12.75" customHeight="1">
      <c r="B139" s="1398">
        <v>113</v>
      </c>
      <c r="C139" s="1402"/>
      <c r="D139" s="2439"/>
      <c r="E139" s="2439"/>
      <c r="F139" s="1402"/>
      <c r="G139" s="1402"/>
      <c r="H139" s="103"/>
      <c r="I139" s="1401"/>
      <c r="J139" s="1395" t="str">
        <f t="shared" si="11"/>
        <v/>
      </c>
      <c r="K139" s="1400"/>
      <c r="L139" s="103"/>
      <c r="M139" s="1393" t="str">
        <f t="shared" si="12"/>
        <v/>
      </c>
      <c r="N139" s="1392" t="str">
        <f t="shared" si="10"/>
        <v/>
      </c>
      <c r="O139" s="1391"/>
      <c r="P139" s="1390"/>
      <c r="Q139" s="621"/>
      <c r="R139" s="621"/>
      <c r="S139" s="621"/>
      <c r="V139" s="78"/>
    </row>
    <row r="140" spans="2:22" ht="12.75" customHeight="1">
      <c r="B140" s="1398">
        <v>114</v>
      </c>
      <c r="C140" s="1402"/>
      <c r="D140" s="2439"/>
      <c r="E140" s="2439"/>
      <c r="F140" s="1402"/>
      <c r="G140" s="1402"/>
      <c r="H140" s="103"/>
      <c r="I140" s="1401"/>
      <c r="J140" s="1395" t="str">
        <f t="shared" si="11"/>
        <v/>
      </c>
      <c r="K140" s="1400"/>
      <c r="L140" s="103"/>
      <c r="M140" s="1393" t="str">
        <f t="shared" si="12"/>
        <v/>
      </c>
      <c r="N140" s="1392" t="str">
        <f t="shared" si="10"/>
        <v/>
      </c>
      <c r="O140" s="1391"/>
      <c r="P140" s="1390"/>
      <c r="Q140" s="621"/>
      <c r="R140" s="621"/>
      <c r="S140" s="621"/>
      <c r="V140" s="78"/>
    </row>
    <row r="141" spans="2:22" ht="12.75" customHeight="1">
      <c r="B141" s="1398">
        <v>115</v>
      </c>
      <c r="C141" s="1402"/>
      <c r="D141" s="2439"/>
      <c r="E141" s="2439"/>
      <c r="F141" s="1402"/>
      <c r="G141" s="1402"/>
      <c r="H141" s="103"/>
      <c r="I141" s="1401"/>
      <c r="J141" s="1395" t="str">
        <f t="shared" si="11"/>
        <v/>
      </c>
      <c r="K141" s="1400"/>
      <c r="L141" s="103"/>
      <c r="M141" s="1393" t="str">
        <f t="shared" si="12"/>
        <v/>
      </c>
      <c r="N141" s="1392" t="str">
        <f t="shared" si="10"/>
        <v/>
      </c>
      <c r="O141" s="1391"/>
      <c r="P141" s="1390"/>
      <c r="Q141" s="621"/>
      <c r="R141" s="621"/>
      <c r="S141" s="621"/>
      <c r="V141" s="78"/>
    </row>
    <row r="142" spans="2:22" ht="12.75" customHeight="1">
      <c r="B142" s="1398">
        <v>116</v>
      </c>
      <c r="C142" s="1402"/>
      <c r="D142" s="2439"/>
      <c r="E142" s="2439"/>
      <c r="F142" s="1402"/>
      <c r="G142" s="1402"/>
      <c r="H142" s="103"/>
      <c r="I142" s="1401"/>
      <c r="J142" s="1395" t="str">
        <f t="shared" si="11"/>
        <v/>
      </c>
      <c r="K142" s="1400"/>
      <c r="L142" s="103"/>
      <c r="M142" s="1393" t="str">
        <f t="shared" si="12"/>
        <v/>
      </c>
      <c r="N142" s="1392" t="str">
        <f t="shared" si="10"/>
        <v/>
      </c>
      <c r="O142" s="1391"/>
      <c r="P142" s="1390"/>
      <c r="Q142" s="621"/>
      <c r="R142" s="621"/>
      <c r="S142" s="621"/>
      <c r="V142" s="78"/>
    </row>
    <row r="143" spans="2:22" ht="12.75" customHeight="1">
      <c r="B143" s="1398">
        <v>117</v>
      </c>
      <c r="C143" s="1402"/>
      <c r="D143" s="2439"/>
      <c r="E143" s="2439"/>
      <c r="F143" s="1402"/>
      <c r="G143" s="1402"/>
      <c r="H143" s="103"/>
      <c r="I143" s="1401"/>
      <c r="J143" s="1395" t="str">
        <f t="shared" si="11"/>
        <v/>
      </c>
      <c r="K143" s="1400"/>
      <c r="L143" s="103"/>
      <c r="M143" s="1393" t="str">
        <f t="shared" si="12"/>
        <v/>
      </c>
      <c r="N143" s="1392" t="str">
        <f t="shared" si="10"/>
        <v/>
      </c>
      <c r="O143" s="1391"/>
      <c r="P143" s="1390"/>
      <c r="Q143" s="621"/>
      <c r="R143" s="621"/>
      <c r="S143" s="621"/>
      <c r="V143" s="78"/>
    </row>
    <row r="144" spans="2:22" ht="12.75" customHeight="1">
      <c r="B144" s="1398">
        <v>118</v>
      </c>
      <c r="C144" s="1402"/>
      <c r="D144" s="2439"/>
      <c r="E144" s="2439"/>
      <c r="F144" s="1402"/>
      <c r="G144" s="1402"/>
      <c r="H144" s="103"/>
      <c r="I144" s="1401"/>
      <c r="J144" s="1395" t="str">
        <f t="shared" si="11"/>
        <v/>
      </c>
      <c r="K144" s="1400"/>
      <c r="L144" s="103"/>
      <c r="M144" s="1393" t="str">
        <f t="shared" si="12"/>
        <v/>
      </c>
      <c r="N144" s="1392" t="str">
        <f t="shared" si="10"/>
        <v/>
      </c>
      <c r="O144" s="1391"/>
      <c r="P144" s="1390"/>
      <c r="Q144" s="621"/>
      <c r="R144" s="621"/>
      <c r="S144" s="621"/>
      <c r="V144" s="78"/>
    </row>
    <row r="145" spans="2:22" ht="12.75" customHeight="1">
      <c r="B145" s="1398">
        <v>119</v>
      </c>
      <c r="C145" s="1402"/>
      <c r="D145" s="2439"/>
      <c r="E145" s="2439"/>
      <c r="F145" s="1402"/>
      <c r="G145" s="1402"/>
      <c r="H145" s="103"/>
      <c r="I145" s="1401"/>
      <c r="J145" s="1395" t="str">
        <f t="shared" si="11"/>
        <v/>
      </c>
      <c r="K145" s="1400"/>
      <c r="L145" s="103"/>
      <c r="M145" s="1393" t="str">
        <f t="shared" si="12"/>
        <v/>
      </c>
      <c r="N145" s="1392" t="str">
        <f t="shared" si="10"/>
        <v/>
      </c>
      <c r="O145" s="1391"/>
      <c r="P145" s="1390"/>
      <c r="Q145" s="621"/>
      <c r="R145" s="621"/>
      <c r="S145" s="621"/>
      <c r="V145" s="78"/>
    </row>
    <row r="146" spans="2:22" ht="12.75" customHeight="1">
      <c r="B146" s="1398">
        <v>120</v>
      </c>
      <c r="C146" s="1402"/>
      <c r="D146" s="2439"/>
      <c r="E146" s="2439"/>
      <c r="F146" s="1402"/>
      <c r="G146" s="1402"/>
      <c r="H146" s="103"/>
      <c r="I146" s="1401"/>
      <c r="J146" s="1395" t="str">
        <f t="shared" si="11"/>
        <v/>
      </c>
      <c r="K146" s="1400"/>
      <c r="L146" s="103"/>
      <c r="M146" s="1393" t="str">
        <f t="shared" si="12"/>
        <v/>
      </c>
      <c r="N146" s="1392" t="str">
        <f t="shared" si="10"/>
        <v/>
      </c>
      <c r="O146" s="1391"/>
      <c r="P146" s="1390"/>
      <c r="Q146" s="621"/>
      <c r="R146" s="621"/>
      <c r="S146" s="621"/>
      <c r="V146" s="78"/>
    </row>
    <row r="147" spans="2:22" ht="12.75" customHeight="1">
      <c r="B147" s="1398">
        <v>121</v>
      </c>
      <c r="C147" s="1402"/>
      <c r="D147" s="2439"/>
      <c r="E147" s="2439"/>
      <c r="F147" s="1402"/>
      <c r="G147" s="1402"/>
      <c r="H147" s="103"/>
      <c r="I147" s="1401"/>
      <c r="J147" s="1395" t="str">
        <f t="shared" si="11"/>
        <v/>
      </c>
      <c r="K147" s="1400"/>
      <c r="L147" s="103"/>
      <c r="M147" s="1393" t="str">
        <f t="shared" si="12"/>
        <v/>
      </c>
      <c r="N147" s="1392" t="str">
        <f t="shared" si="10"/>
        <v/>
      </c>
      <c r="O147" s="1391"/>
      <c r="P147" s="1390"/>
      <c r="Q147" s="621"/>
      <c r="R147" s="621"/>
      <c r="S147" s="621"/>
      <c r="V147" s="78"/>
    </row>
    <row r="148" spans="2:22" ht="12.75" customHeight="1">
      <c r="B148" s="1398">
        <v>122</v>
      </c>
      <c r="C148" s="1402"/>
      <c r="D148" s="2439"/>
      <c r="E148" s="2439"/>
      <c r="F148" s="1402"/>
      <c r="G148" s="1402"/>
      <c r="H148" s="103"/>
      <c r="I148" s="1401"/>
      <c r="J148" s="1395" t="str">
        <f t="shared" si="11"/>
        <v/>
      </c>
      <c r="K148" s="1400"/>
      <c r="L148" s="103"/>
      <c r="M148" s="1393" t="str">
        <f t="shared" si="12"/>
        <v/>
      </c>
      <c r="N148" s="1392" t="str">
        <f t="shared" si="10"/>
        <v/>
      </c>
      <c r="O148" s="1391"/>
      <c r="P148" s="1390"/>
      <c r="Q148" s="621"/>
      <c r="R148" s="621"/>
      <c r="S148" s="621"/>
      <c r="V148" s="78"/>
    </row>
    <row r="149" spans="2:22" ht="12.75" customHeight="1">
      <c r="B149" s="1398">
        <v>123</v>
      </c>
      <c r="C149" s="1402"/>
      <c r="D149" s="2439"/>
      <c r="E149" s="2439"/>
      <c r="F149" s="1402"/>
      <c r="G149" s="1402"/>
      <c r="H149" s="103"/>
      <c r="I149" s="1401"/>
      <c r="J149" s="1395" t="str">
        <f t="shared" si="11"/>
        <v/>
      </c>
      <c r="K149" s="1400"/>
      <c r="L149" s="103"/>
      <c r="M149" s="1393" t="str">
        <f t="shared" si="12"/>
        <v/>
      </c>
      <c r="N149" s="1392" t="str">
        <f t="shared" si="10"/>
        <v/>
      </c>
      <c r="O149" s="1391"/>
      <c r="P149" s="1390"/>
      <c r="Q149" s="621"/>
      <c r="R149" s="621"/>
      <c r="S149" s="621"/>
      <c r="V149" s="78"/>
    </row>
    <row r="150" spans="2:22" ht="12.75" customHeight="1">
      <c r="B150" s="1398">
        <v>124</v>
      </c>
      <c r="C150" s="1402"/>
      <c r="D150" s="2439"/>
      <c r="E150" s="2439"/>
      <c r="F150" s="1402"/>
      <c r="G150" s="1402"/>
      <c r="H150" s="103"/>
      <c r="I150" s="1401"/>
      <c r="J150" s="1395" t="str">
        <f t="shared" si="11"/>
        <v/>
      </c>
      <c r="K150" s="1400"/>
      <c r="L150" s="103"/>
      <c r="M150" s="1393" t="str">
        <f t="shared" si="12"/>
        <v/>
      </c>
      <c r="N150" s="1392" t="str">
        <f t="shared" si="10"/>
        <v/>
      </c>
      <c r="O150" s="1391"/>
      <c r="P150" s="1390"/>
      <c r="Q150" s="621"/>
      <c r="R150" s="621"/>
      <c r="S150" s="621"/>
      <c r="V150" s="78"/>
    </row>
    <row r="151" spans="2:22" ht="12.75" customHeight="1">
      <c r="B151" s="1398">
        <v>125</v>
      </c>
      <c r="C151" s="1402"/>
      <c r="D151" s="2439"/>
      <c r="E151" s="2439"/>
      <c r="F151" s="1402"/>
      <c r="G151" s="1402"/>
      <c r="H151" s="103"/>
      <c r="I151" s="1401"/>
      <c r="J151" s="1395" t="str">
        <f t="shared" si="11"/>
        <v/>
      </c>
      <c r="K151" s="1400"/>
      <c r="L151" s="103"/>
      <c r="M151" s="1393" t="str">
        <f t="shared" si="12"/>
        <v/>
      </c>
      <c r="N151" s="1392" t="str">
        <f t="shared" si="10"/>
        <v/>
      </c>
      <c r="O151" s="1391"/>
      <c r="P151" s="1390"/>
      <c r="Q151" s="621"/>
      <c r="R151" s="621"/>
      <c r="S151" s="621"/>
      <c r="V151" s="78"/>
    </row>
    <row r="152" spans="2:22" ht="12.75" customHeight="1">
      <c r="B152" s="1398">
        <v>126</v>
      </c>
      <c r="C152" s="1402"/>
      <c r="D152" s="2439"/>
      <c r="E152" s="2439"/>
      <c r="F152" s="1402"/>
      <c r="G152" s="1402"/>
      <c r="H152" s="103"/>
      <c r="I152" s="1401"/>
      <c r="J152" s="1395" t="str">
        <f t="shared" si="11"/>
        <v/>
      </c>
      <c r="K152" s="1400"/>
      <c r="L152" s="103"/>
      <c r="M152" s="1393" t="str">
        <f t="shared" si="12"/>
        <v/>
      </c>
      <c r="N152" s="1392" t="str">
        <f t="shared" si="10"/>
        <v/>
      </c>
      <c r="O152" s="1391"/>
      <c r="P152" s="1390"/>
      <c r="Q152" s="621"/>
      <c r="R152" s="621"/>
      <c r="S152" s="621"/>
      <c r="V152" s="78"/>
    </row>
    <row r="153" spans="2:22" ht="12.75" customHeight="1">
      <c r="B153" s="1398">
        <v>127</v>
      </c>
      <c r="C153" s="1402"/>
      <c r="D153" s="2439"/>
      <c r="E153" s="2439"/>
      <c r="F153" s="1402"/>
      <c r="G153" s="1402"/>
      <c r="H153" s="103"/>
      <c r="I153" s="1401"/>
      <c r="J153" s="1395" t="str">
        <f t="shared" si="11"/>
        <v/>
      </c>
      <c r="K153" s="1400"/>
      <c r="L153" s="103"/>
      <c r="M153" s="1393" t="str">
        <f t="shared" si="12"/>
        <v/>
      </c>
      <c r="N153" s="1392" t="str">
        <f t="shared" si="10"/>
        <v/>
      </c>
      <c r="O153" s="1391"/>
      <c r="P153" s="1390"/>
      <c r="Q153" s="621"/>
      <c r="R153" s="621"/>
      <c r="S153" s="621"/>
      <c r="V153" s="78"/>
    </row>
    <row r="154" spans="2:22" ht="12.75" customHeight="1">
      <c r="B154" s="1398">
        <v>128</v>
      </c>
      <c r="C154" s="1402"/>
      <c r="D154" s="2439"/>
      <c r="E154" s="2439"/>
      <c r="F154" s="1402"/>
      <c r="G154" s="1402"/>
      <c r="H154" s="103"/>
      <c r="I154" s="1401"/>
      <c r="J154" s="1395" t="str">
        <f t="shared" si="11"/>
        <v/>
      </c>
      <c r="K154" s="1400"/>
      <c r="L154" s="103"/>
      <c r="M154" s="1393" t="str">
        <f t="shared" si="12"/>
        <v/>
      </c>
      <c r="N154" s="1392" t="str">
        <f t="shared" si="10"/>
        <v/>
      </c>
      <c r="O154" s="1391"/>
      <c r="P154" s="1390"/>
      <c r="Q154" s="621"/>
      <c r="R154" s="621"/>
      <c r="S154" s="621"/>
      <c r="V154" s="78"/>
    </row>
    <row r="155" spans="2:22" ht="12.75" customHeight="1">
      <c r="B155" s="1398">
        <v>129</v>
      </c>
      <c r="C155" s="1402"/>
      <c r="D155" s="2439"/>
      <c r="E155" s="2439"/>
      <c r="F155" s="1402"/>
      <c r="G155" s="1402"/>
      <c r="H155" s="103"/>
      <c r="I155" s="1401"/>
      <c r="J155" s="1395" t="str">
        <f t="shared" si="11"/>
        <v/>
      </c>
      <c r="K155" s="1400"/>
      <c r="L155" s="103"/>
      <c r="M155" s="1393" t="str">
        <f t="shared" si="12"/>
        <v/>
      </c>
      <c r="N155" s="1392" t="str">
        <f t="shared" ref="N155:N186" si="13">IFERROR(IF(G155="Vacant","NA",I155/(L155/12)),"")</f>
        <v/>
      </c>
      <c r="O155" s="1391"/>
      <c r="P155" s="1390"/>
      <c r="Q155" s="621"/>
      <c r="R155" s="621"/>
      <c r="S155" s="621"/>
      <c r="V155" s="78"/>
    </row>
    <row r="156" spans="2:22" ht="12.75" customHeight="1">
      <c r="B156" s="1398">
        <v>130</v>
      </c>
      <c r="C156" s="1402"/>
      <c r="D156" s="2439"/>
      <c r="E156" s="2439"/>
      <c r="F156" s="1402"/>
      <c r="G156" s="1402"/>
      <c r="H156" s="103"/>
      <c r="I156" s="1401"/>
      <c r="J156" s="1395" t="str">
        <f t="shared" ref="J156:J187" si="14">IF($Q$23&gt;=B156,H156-I156,"")</f>
        <v/>
      </c>
      <c r="K156" s="1400"/>
      <c r="L156" s="103"/>
      <c r="M156" s="1393" t="str">
        <f t="shared" si="12"/>
        <v/>
      </c>
      <c r="N156" s="1392" t="str">
        <f t="shared" si="13"/>
        <v/>
      </c>
      <c r="O156" s="1391"/>
      <c r="P156" s="1390"/>
      <c r="Q156" s="621"/>
      <c r="R156" s="621"/>
      <c r="S156" s="621"/>
      <c r="V156" s="78"/>
    </row>
    <row r="157" spans="2:22" ht="12.75" customHeight="1">
      <c r="B157" s="1398">
        <v>131</v>
      </c>
      <c r="C157" s="1402"/>
      <c r="D157" s="2439"/>
      <c r="E157" s="2439"/>
      <c r="F157" s="1402"/>
      <c r="G157" s="1402"/>
      <c r="H157" s="103"/>
      <c r="I157" s="1401"/>
      <c r="J157" s="1395" t="str">
        <f t="shared" si="14"/>
        <v/>
      </c>
      <c r="K157" s="1400"/>
      <c r="L157" s="103"/>
      <c r="M157" s="1393" t="str">
        <f t="shared" si="12"/>
        <v/>
      </c>
      <c r="N157" s="1392" t="str">
        <f t="shared" si="13"/>
        <v/>
      </c>
      <c r="O157" s="1391"/>
      <c r="P157" s="1390"/>
      <c r="Q157" s="621"/>
      <c r="R157" s="621"/>
      <c r="S157" s="621"/>
      <c r="V157" s="78"/>
    </row>
    <row r="158" spans="2:22" ht="12.75" customHeight="1">
      <c r="B158" s="1398">
        <v>132</v>
      </c>
      <c r="C158" s="1402"/>
      <c r="D158" s="2439"/>
      <c r="E158" s="2439"/>
      <c r="F158" s="1402"/>
      <c r="G158" s="1402"/>
      <c r="H158" s="103"/>
      <c r="I158" s="1401"/>
      <c r="J158" s="1395" t="str">
        <f t="shared" si="14"/>
        <v/>
      </c>
      <c r="K158" s="1400"/>
      <c r="L158" s="103"/>
      <c r="M158" s="1393" t="str">
        <f t="shared" si="12"/>
        <v/>
      </c>
      <c r="N158" s="1392" t="str">
        <f t="shared" si="13"/>
        <v/>
      </c>
      <c r="O158" s="1391"/>
      <c r="P158" s="1390"/>
      <c r="Q158" s="621"/>
      <c r="R158" s="621"/>
      <c r="S158" s="621"/>
      <c r="V158" s="78"/>
    </row>
    <row r="159" spans="2:22" ht="12.75" customHeight="1">
      <c r="B159" s="1398">
        <v>133</v>
      </c>
      <c r="C159" s="1402"/>
      <c r="D159" s="2439"/>
      <c r="E159" s="2439"/>
      <c r="F159" s="1402"/>
      <c r="G159" s="1402"/>
      <c r="H159" s="103"/>
      <c r="I159" s="1401"/>
      <c r="J159" s="1395" t="str">
        <f t="shared" si="14"/>
        <v/>
      </c>
      <c r="K159" s="1400"/>
      <c r="L159" s="103"/>
      <c r="M159" s="1393" t="str">
        <f t="shared" si="12"/>
        <v/>
      </c>
      <c r="N159" s="1392" t="str">
        <f t="shared" si="13"/>
        <v/>
      </c>
      <c r="O159" s="1391"/>
      <c r="P159" s="1390"/>
      <c r="Q159" s="621"/>
      <c r="R159" s="621"/>
      <c r="S159" s="621"/>
      <c r="V159" s="78"/>
    </row>
    <row r="160" spans="2:22" ht="12.75" customHeight="1">
      <c r="B160" s="1398">
        <v>134</v>
      </c>
      <c r="C160" s="1402"/>
      <c r="D160" s="2439"/>
      <c r="E160" s="2439"/>
      <c r="F160" s="1402"/>
      <c r="G160" s="1402"/>
      <c r="H160" s="103"/>
      <c r="I160" s="1401"/>
      <c r="J160" s="1395" t="str">
        <f t="shared" si="14"/>
        <v/>
      </c>
      <c r="K160" s="1400"/>
      <c r="L160" s="103"/>
      <c r="M160" s="1393" t="str">
        <f t="shared" si="12"/>
        <v/>
      </c>
      <c r="N160" s="1392" t="str">
        <f t="shared" si="13"/>
        <v/>
      </c>
      <c r="O160" s="1391"/>
      <c r="P160" s="1390"/>
      <c r="Q160" s="621"/>
      <c r="R160" s="621"/>
      <c r="S160" s="621"/>
      <c r="V160" s="78"/>
    </row>
    <row r="161" spans="2:22" ht="12.75" customHeight="1">
      <c r="B161" s="1398">
        <v>135</v>
      </c>
      <c r="C161" s="1402"/>
      <c r="D161" s="2439"/>
      <c r="E161" s="2439"/>
      <c r="F161" s="1402"/>
      <c r="G161" s="1402"/>
      <c r="H161" s="103"/>
      <c r="I161" s="1401"/>
      <c r="J161" s="1395" t="str">
        <f t="shared" si="14"/>
        <v/>
      </c>
      <c r="K161" s="1400"/>
      <c r="L161" s="103"/>
      <c r="M161" s="1393" t="str">
        <f t="shared" si="12"/>
        <v/>
      </c>
      <c r="N161" s="1392" t="str">
        <f t="shared" si="13"/>
        <v/>
      </c>
      <c r="O161" s="1391"/>
      <c r="P161" s="1390"/>
      <c r="Q161" s="621"/>
      <c r="R161" s="621"/>
      <c r="S161" s="621"/>
      <c r="V161" s="78"/>
    </row>
    <row r="162" spans="2:22" ht="12.75" customHeight="1">
      <c r="B162" s="1398">
        <v>136</v>
      </c>
      <c r="C162" s="1402"/>
      <c r="D162" s="2439"/>
      <c r="E162" s="2439"/>
      <c r="F162" s="1402"/>
      <c r="G162" s="1402"/>
      <c r="H162" s="103"/>
      <c r="I162" s="1401"/>
      <c r="J162" s="1395" t="str">
        <f t="shared" si="14"/>
        <v/>
      </c>
      <c r="K162" s="1400"/>
      <c r="L162" s="103"/>
      <c r="M162" s="1393" t="str">
        <f t="shared" si="12"/>
        <v/>
      </c>
      <c r="N162" s="1392" t="str">
        <f t="shared" si="13"/>
        <v/>
      </c>
      <c r="O162" s="1391"/>
      <c r="P162" s="1390"/>
      <c r="Q162" s="621"/>
      <c r="R162" s="621"/>
      <c r="S162" s="621"/>
      <c r="V162" s="78"/>
    </row>
    <row r="163" spans="2:22" ht="12.75" customHeight="1">
      <c r="B163" s="1398">
        <v>137</v>
      </c>
      <c r="C163" s="1402"/>
      <c r="D163" s="2439"/>
      <c r="E163" s="2439"/>
      <c r="F163" s="1402"/>
      <c r="G163" s="1402"/>
      <c r="H163" s="103"/>
      <c r="I163" s="1401"/>
      <c r="J163" s="1395" t="str">
        <f t="shared" si="14"/>
        <v/>
      </c>
      <c r="K163" s="1400"/>
      <c r="L163" s="103"/>
      <c r="M163" s="1393" t="str">
        <f t="shared" si="12"/>
        <v/>
      </c>
      <c r="N163" s="1392" t="str">
        <f t="shared" si="13"/>
        <v/>
      </c>
      <c r="O163" s="1391"/>
      <c r="P163" s="1390"/>
      <c r="Q163" s="621"/>
      <c r="R163" s="621"/>
      <c r="S163" s="621"/>
      <c r="V163" s="78"/>
    </row>
    <row r="164" spans="2:22" ht="12.75" customHeight="1">
      <c r="B164" s="1398">
        <v>138</v>
      </c>
      <c r="C164" s="1402"/>
      <c r="D164" s="2439"/>
      <c r="E164" s="2439"/>
      <c r="F164" s="1402"/>
      <c r="G164" s="1402"/>
      <c r="H164" s="103"/>
      <c r="I164" s="1401"/>
      <c r="J164" s="1395" t="str">
        <f t="shared" si="14"/>
        <v/>
      </c>
      <c r="K164" s="1400"/>
      <c r="L164" s="103"/>
      <c r="M164" s="1393" t="str">
        <f t="shared" si="12"/>
        <v/>
      </c>
      <c r="N164" s="1392" t="str">
        <f t="shared" si="13"/>
        <v/>
      </c>
      <c r="O164" s="1391"/>
      <c r="P164" s="1390"/>
      <c r="Q164" s="621"/>
      <c r="R164" s="621"/>
      <c r="S164" s="621"/>
      <c r="V164" s="78"/>
    </row>
    <row r="165" spans="2:22" ht="12.75" customHeight="1">
      <c r="B165" s="1398">
        <v>139</v>
      </c>
      <c r="C165" s="1402"/>
      <c r="D165" s="2439"/>
      <c r="E165" s="2439"/>
      <c r="F165" s="1402"/>
      <c r="G165" s="1402"/>
      <c r="H165" s="103"/>
      <c r="I165" s="1401"/>
      <c r="J165" s="1395" t="str">
        <f t="shared" si="14"/>
        <v/>
      </c>
      <c r="K165" s="1400"/>
      <c r="L165" s="103"/>
      <c r="M165" s="1393" t="str">
        <f t="shared" si="12"/>
        <v/>
      </c>
      <c r="N165" s="1392" t="str">
        <f t="shared" si="13"/>
        <v/>
      </c>
      <c r="O165" s="1391"/>
      <c r="P165" s="1390"/>
      <c r="Q165" s="621"/>
      <c r="R165" s="621"/>
      <c r="S165" s="621"/>
      <c r="V165" s="78"/>
    </row>
    <row r="166" spans="2:22" ht="12.75" customHeight="1">
      <c r="B166" s="1398">
        <v>140</v>
      </c>
      <c r="C166" s="1402"/>
      <c r="D166" s="2439"/>
      <c r="E166" s="2439"/>
      <c r="F166" s="1402"/>
      <c r="G166" s="1402"/>
      <c r="H166" s="103"/>
      <c r="I166" s="1401"/>
      <c r="J166" s="1395" t="str">
        <f t="shared" si="14"/>
        <v/>
      </c>
      <c r="K166" s="1400"/>
      <c r="L166" s="103"/>
      <c r="M166" s="1393" t="str">
        <f t="shared" si="12"/>
        <v/>
      </c>
      <c r="N166" s="1392" t="str">
        <f t="shared" si="13"/>
        <v/>
      </c>
      <c r="O166" s="1391"/>
      <c r="P166" s="1390"/>
      <c r="Q166" s="621"/>
      <c r="R166" s="621"/>
      <c r="S166" s="621"/>
      <c r="V166" s="78"/>
    </row>
    <row r="167" spans="2:22" ht="12.75" customHeight="1">
      <c r="B167" s="1398">
        <v>141</v>
      </c>
      <c r="C167" s="1402"/>
      <c r="D167" s="2439"/>
      <c r="E167" s="2439"/>
      <c r="F167" s="1402"/>
      <c r="G167" s="1402"/>
      <c r="H167" s="103"/>
      <c r="I167" s="1401"/>
      <c r="J167" s="1395" t="str">
        <f t="shared" si="14"/>
        <v/>
      </c>
      <c r="K167" s="1400"/>
      <c r="L167" s="103"/>
      <c r="M167" s="1393" t="str">
        <f t="shared" si="12"/>
        <v/>
      </c>
      <c r="N167" s="1392" t="str">
        <f t="shared" si="13"/>
        <v/>
      </c>
      <c r="O167" s="1391"/>
      <c r="P167" s="1390"/>
      <c r="Q167" s="621"/>
      <c r="R167" s="621"/>
      <c r="S167" s="621"/>
      <c r="V167" s="78"/>
    </row>
    <row r="168" spans="2:22" ht="12.75" customHeight="1">
      <c r="B168" s="1398">
        <v>142</v>
      </c>
      <c r="C168" s="1402"/>
      <c r="D168" s="2439"/>
      <c r="E168" s="2439"/>
      <c r="F168" s="1402"/>
      <c r="G168" s="1402"/>
      <c r="H168" s="103"/>
      <c r="I168" s="1401"/>
      <c r="J168" s="1395" t="str">
        <f t="shared" si="14"/>
        <v/>
      </c>
      <c r="K168" s="1400"/>
      <c r="L168" s="103"/>
      <c r="M168" s="1393" t="str">
        <f t="shared" si="12"/>
        <v/>
      </c>
      <c r="N168" s="1392" t="str">
        <f t="shared" si="13"/>
        <v/>
      </c>
      <c r="O168" s="1391"/>
      <c r="P168" s="1390"/>
      <c r="Q168" s="621"/>
      <c r="R168" s="621"/>
      <c r="S168" s="621"/>
      <c r="V168" s="78"/>
    </row>
    <row r="169" spans="2:22" ht="12.75" customHeight="1">
      <c r="B169" s="1398">
        <v>143</v>
      </c>
      <c r="C169" s="1402"/>
      <c r="D169" s="2439"/>
      <c r="E169" s="2439"/>
      <c r="F169" s="1402"/>
      <c r="G169" s="1402"/>
      <c r="H169" s="103"/>
      <c r="I169" s="1401"/>
      <c r="J169" s="1395" t="str">
        <f t="shared" si="14"/>
        <v/>
      </c>
      <c r="K169" s="1400"/>
      <c r="L169" s="103"/>
      <c r="M169" s="1393" t="str">
        <f t="shared" ref="M169:M200" si="15">IF(G169="Vacant","NA",IF(G169=1,(L169/$E$17),IF(G169=2,(L169/$E$18),IF(G169=3,(L169/$E$19),IF(G169=4,(L169/$E$20),IF(G169=5,(L169/$E$21),IF(G169=6,(L169/$E$22),IF(G169=7,(L169/$E$23),IF(G169=8,(L169/$E$24),IF(G169=9,(L169/W154),IF(G169=10,(L169/W155),"")))))))))))</f>
        <v/>
      </c>
      <c r="N169" s="1392" t="str">
        <f t="shared" si="13"/>
        <v/>
      </c>
      <c r="O169" s="1391"/>
      <c r="P169" s="1390"/>
      <c r="Q169" s="621"/>
      <c r="R169" s="621"/>
      <c r="S169" s="621"/>
      <c r="V169" s="78"/>
    </row>
    <row r="170" spans="2:22" ht="12.75" customHeight="1">
      <c r="B170" s="1398">
        <v>144</v>
      </c>
      <c r="C170" s="1402"/>
      <c r="D170" s="2439"/>
      <c r="E170" s="2439"/>
      <c r="F170" s="1402"/>
      <c r="G170" s="1402"/>
      <c r="H170" s="103"/>
      <c r="I170" s="1401"/>
      <c r="J170" s="1395" t="str">
        <f t="shared" si="14"/>
        <v/>
      </c>
      <c r="K170" s="1400"/>
      <c r="L170" s="103"/>
      <c r="M170" s="1393" t="str">
        <f t="shared" si="15"/>
        <v/>
      </c>
      <c r="N170" s="1392" t="str">
        <f t="shared" si="13"/>
        <v/>
      </c>
      <c r="O170" s="1391"/>
      <c r="P170" s="1390"/>
      <c r="Q170" s="621"/>
      <c r="R170" s="621"/>
      <c r="S170" s="621"/>
      <c r="V170" s="78"/>
    </row>
    <row r="171" spans="2:22" ht="12.75" customHeight="1">
      <c r="B171" s="1398">
        <v>145</v>
      </c>
      <c r="C171" s="1402"/>
      <c r="D171" s="2439"/>
      <c r="E171" s="2439"/>
      <c r="F171" s="1402"/>
      <c r="G171" s="1402"/>
      <c r="H171" s="103"/>
      <c r="I171" s="1401"/>
      <c r="J171" s="1395" t="str">
        <f t="shared" si="14"/>
        <v/>
      </c>
      <c r="K171" s="1400"/>
      <c r="L171" s="103"/>
      <c r="M171" s="1393" t="str">
        <f t="shared" si="15"/>
        <v/>
      </c>
      <c r="N171" s="1392" t="str">
        <f t="shared" si="13"/>
        <v/>
      </c>
      <c r="O171" s="1391"/>
      <c r="P171" s="1390"/>
      <c r="Q171" s="621"/>
      <c r="R171" s="621"/>
      <c r="S171" s="621"/>
      <c r="V171" s="78"/>
    </row>
    <row r="172" spans="2:22" ht="12.75" customHeight="1">
      <c r="B172" s="1398">
        <v>146</v>
      </c>
      <c r="C172" s="1402"/>
      <c r="D172" s="2439"/>
      <c r="E172" s="2439"/>
      <c r="F172" s="1402"/>
      <c r="G172" s="1402"/>
      <c r="H172" s="103"/>
      <c r="I172" s="1401"/>
      <c r="J172" s="1395" t="str">
        <f t="shared" si="14"/>
        <v/>
      </c>
      <c r="K172" s="1400"/>
      <c r="L172" s="103"/>
      <c r="M172" s="1393" t="str">
        <f t="shared" si="15"/>
        <v/>
      </c>
      <c r="N172" s="1392" t="str">
        <f t="shared" si="13"/>
        <v/>
      </c>
      <c r="O172" s="1391"/>
      <c r="P172" s="1390"/>
      <c r="Q172" s="621"/>
      <c r="R172" s="621"/>
      <c r="S172" s="621"/>
      <c r="V172" s="78"/>
    </row>
    <row r="173" spans="2:22" ht="12.75" customHeight="1">
      <c r="B173" s="1398">
        <v>147</v>
      </c>
      <c r="C173" s="1402"/>
      <c r="D173" s="2439"/>
      <c r="E173" s="2439"/>
      <c r="F173" s="1402"/>
      <c r="G173" s="1402"/>
      <c r="H173" s="103"/>
      <c r="I173" s="1401"/>
      <c r="J173" s="1395" t="str">
        <f t="shared" si="14"/>
        <v/>
      </c>
      <c r="K173" s="1400"/>
      <c r="L173" s="103"/>
      <c r="M173" s="1393" t="str">
        <f t="shared" si="15"/>
        <v/>
      </c>
      <c r="N173" s="1392" t="str">
        <f t="shared" si="13"/>
        <v/>
      </c>
      <c r="O173" s="1391"/>
      <c r="P173" s="1390"/>
      <c r="Q173" s="621"/>
      <c r="R173" s="621"/>
      <c r="S173" s="621"/>
      <c r="V173" s="78"/>
    </row>
    <row r="174" spans="2:22" ht="12.75" customHeight="1">
      <c r="B174" s="1398">
        <v>148</v>
      </c>
      <c r="C174" s="1402"/>
      <c r="D174" s="2439"/>
      <c r="E174" s="2439"/>
      <c r="F174" s="1402"/>
      <c r="G174" s="1402"/>
      <c r="H174" s="103"/>
      <c r="I174" s="1401"/>
      <c r="J174" s="1395" t="str">
        <f t="shared" si="14"/>
        <v/>
      </c>
      <c r="K174" s="1400"/>
      <c r="L174" s="103"/>
      <c r="M174" s="1393" t="str">
        <f t="shared" si="15"/>
        <v/>
      </c>
      <c r="N174" s="1392" t="str">
        <f t="shared" si="13"/>
        <v/>
      </c>
      <c r="O174" s="1391"/>
      <c r="P174" s="1390"/>
      <c r="Q174" s="621"/>
      <c r="R174" s="621"/>
      <c r="S174" s="621"/>
      <c r="V174" s="78"/>
    </row>
    <row r="175" spans="2:22" ht="12.75" customHeight="1">
      <c r="B175" s="1398">
        <v>149</v>
      </c>
      <c r="C175" s="1402"/>
      <c r="D175" s="2439"/>
      <c r="E175" s="2439"/>
      <c r="F175" s="1402"/>
      <c r="G175" s="1402"/>
      <c r="H175" s="103"/>
      <c r="I175" s="1401"/>
      <c r="J175" s="1395" t="str">
        <f t="shared" si="14"/>
        <v/>
      </c>
      <c r="K175" s="1400"/>
      <c r="L175" s="103"/>
      <c r="M175" s="1393" t="str">
        <f t="shared" si="15"/>
        <v/>
      </c>
      <c r="N175" s="1392" t="str">
        <f t="shared" si="13"/>
        <v/>
      </c>
      <c r="O175" s="1391"/>
      <c r="P175" s="1390"/>
      <c r="Q175" s="621"/>
      <c r="R175" s="621"/>
      <c r="S175" s="621"/>
      <c r="V175" s="78"/>
    </row>
    <row r="176" spans="2:22" ht="12.75" customHeight="1">
      <c r="B176" s="1398">
        <v>150</v>
      </c>
      <c r="C176" s="1402"/>
      <c r="D176" s="2439"/>
      <c r="E176" s="2439"/>
      <c r="F176" s="1402"/>
      <c r="G176" s="1402"/>
      <c r="H176" s="103"/>
      <c r="I176" s="1401"/>
      <c r="J176" s="1395" t="str">
        <f t="shared" si="14"/>
        <v/>
      </c>
      <c r="K176" s="1400"/>
      <c r="L176" s="103"/>
      <c r="M176" s="1393" t="str">
        <f t="shared" si="15"/>
        <v/>
      </c>
      <c r="N176" s="1392" t="str">
        <f t="shared" si="13"/>
        <v/>
      </c>
      <c r="O176" s="1391"/>
      <c r="P176" s="1390"/>
      <c r="Q176" s="621"/>
      <c r="R176" s="621"/>
      <c r="S176" s="621"/>
      <c r="V176" s="78"/>
    </row>
    <row r="177" spans="2:22" ht="12.75" customHeight="1">
      <c r="B177" s="1398">
        <v>151</v>
      </c>
      <c r="C177" s="1402"/>
      <c r="D177" s="2439"/>
      <c r="E177" s="2439"/>
      <c r="F177" s="1402"/>
      <c r="G177" s="1402"/>
      <c r="H177" s="103"/>
      <c r="I177" s="1401"/>
      <c r="J177" s="1395" t="str">
        <f t="shared" si="14"/>
        <v/>
      </c>
      <c r="K177" s="1400"/>
      <c r="L177" s="103"/>
      <c r="M177" s="1393" t="str">
        <f t="shared" si="15"/>
        <v/>
      </c>
      <c r="N177" s="1392" t="str">
        <f t="shared" si="13"/>
        <v/>
      </c>
      <c r="O177" s="1391"/>
      <c r="P177" s="1390"/>
      <c r="Q177" s="621"/>
      <c r="R177" s="621"/>
      <c r="S177" s="621"/>
      <c r="V177" s="78"/>
    </row>
    <row r="178" spans="2:22" ht="12.75" customHeight="1">
      <c r="B178" s="1398">
        <v>152</v>
      </c>
      <c r="C178" s="1402"/>
      <c r="D178" s="2439"/>
      <c r="E178" s="2439"/>
      <c r="F178" s="1402"/>
      <c r="G178" s="1402"/>
      <c r="H178" s="103"/>
      <c r="I178" s="1401"/>
      <c r="J178" s="1395" t="str">
        <f t="shared" si="14"/>
        <v/>
      </c>
      <c r="K178" s="1400"/>
      <c r="L178" s="103"/>
      <c r="M178" s="1393" t="str">
        <f t="shared" si="15"/>
        <v/>
      </c>
      <c r="N178" s="1392" t="str">
        <f t="shared" si="13"/>
        <v/>
      </c>
      <c r="O178" s="1391"/>
      <c r="P178" s="1390"/>
      <c r="Q178" s="621"/>
      <c r="R178" s="621"/>
      <c r="S178" s="621"/>
      <c r="V178" s="78"/>
    </row>
    <row r="179" spans="2:22" ht="12.75" customHeight="1">
      <c r="B179" s="1398">
        <v>153</v>
      </c>
      <c r="C179" s="1402"/>
      <c r="D179" s="2439"/>
      <c r="E179" s="2439"/>
      <c r="F179" s="1402"/>
      <c r="G179" s="1402"/>
      <c r="H179" s="103"/>
      <c r="I179" s="1401"/>
      <c r="J179" s="1395" t="str">
        <f t="shared" si="14"/>
        <v/>
      </c>
      <c r="K179" s="1400"/>
      <c r="L179" s="103"/>
      <c r="M179" s="1393" t="str">
        <f t="shared" si="15"/>
        <v/>
      </c>
      <c r="N179" s="1392" t="str">
        <f t="shared" si="13"/>
        <v/>
      </c>
      <c r="O179" s="1391"/>
      <c r="P179" s="1390"/>
      <c r="Q179" s="621"/>
      <c r="R179" s="621"/>
      <c r="S179" s="621"/>
      <c r="V179" s="78"/>
    </row>
    <row r="180" spans="2:22" ht="12.75" customHeight="1">
      <c r="B180" s="1398">
        <v>154</v>
      </c>
      <c r="C180" s="1402"/>
      <c r="D180" s="2439"/>
      <c r="E180" s="2439"/>
      <c r="F180" s="1402"/>
      <c r="G180" s="1402"/>
      <c r="H180" s="103"/>
      <c r="I180" s="1401"/>
      <c r="J180" s="1395" t="str">
        <f t="shared" si="14"/>
        <v/>
      </c>
      <c r="K180" s="1400"/>
      <c r="L180" s="103"/>
      <c r="M180" s="1393" t="str">
        <f t="shared" si="15"/>
        <v/>
      </c>
      <c r="N180" s="1392" t="str">
        <f t="shared" si="13"/>
        <v/>
      </c>
      <c r="O180" s="1391"/>
      <c r="P180" s="1390"/>
      <c r="Q180" s="621"/>
      <c r="R180" s="621"/>
      <c r="S180" s="621"/>
      <c r="V180" s="78"/>
    </row>
    <row r="181" spans="2:22" ht="12.75" customHeight="1">
      <c r="B181" s="1398">
        <v>155</v>
      </c>
      <c r="C181" s="1402"/>
      <c r="D181" s="2439"/>
      <c r="E181" s="2439"/>
      <c r="F181" s="1402"/>
      <c r="G181" s="1402"/>
      <c r="H181" s="103"/>
      <c r="I181" s="1401"/>
      <c r="J181" s="1395" t="str">
        <f t="shared" si="14"/>
        <v/>
      </c>
      <c r="K181" s="1400"/>
      <c r="L181" s="103"/>
      <c r="M181" s="1393" t="str">
        <f t="shared" si="15"/>
        <v/>
      </c>
      <c r="N181" s="1392" t="str">
        <f t="shared" si="13"/>
        <v/>
      </c>
      <c r="O181" s="1391"/>
      <c r="P181" s="1390"/>
      <c r="Q181" s="621"/>
      <c r="R181" s="621"/>
      <c r="S181" s="621"/>
      <c r="V181" s="78"/>
    </row>
    <row r="182" spans="2:22" ht="12.75" customHeight="1">
      <c r="B182" s="1398">
        <v>156</v>
      </c>
      <c r="C182" s="1402"/>
      <c r="D182" s="2439"/>
      <c r="E182" s="2439"/>
      <c r="F182" s="1402"/>
      <c r="G182" s="1402"/>
      <c r="H182" s="103"/>
      <c r="I182" s="1401"/>
      <c r="J182" s="1395" t="str">
        <f t="shared" si="14"/>
        <v/>
      </c>
      <c r="K182" s="1400"/>
      <c r="L182" s="103"/>
      <c r="M182" s="1393" t="str">
        <f t="shared" si="15"/>
        <v/>
      </c>
      <c r="N182" s="1392" t="str">
        <f t="shared" si="13"/>
        <v/>
      </c>
      <c r="O182" s="1391"/>
      <c r="P182" s="1390"/>
      <c r="Q182" s="621"/>
      <c r="R182" s="621"/>
      <c r="S182" s="621"/>
      <c r="V182" s="78"/>
    </row>
    <row r="183" spans="2:22" ht="12.75" customHeight="1">
      <c r="B183" s="1398">
        <v>157</v>
      </c>
      <c r="C183" s="1402"/>
      <c r="D183" s="2439"/>
      <c r="E183" s="2439"/>
      <c r="F183" s="1402"/>
      <c r="G183" s="1402"/>
      <c r="H183" s="103"/>
      <c r="I183" s="1401"/>
      <c r="J183" s="1395" t="str">
        <f t="shared" si="14"/>
        <v/>
      </c>
      <c r="K183" s="1400"/>
      <c r="L183" s="103"/>
      <c r="M183" s="1393" t="str">
        <f t="shared" si="15"/>
        <v/>
      </c>
      <c r="N183" s="1392" t="str">
        <f t="shared" si="13"/>
        <v/>
      </c>
      <c r="O183" s="1391"/>
      <c r="P183" s="1390"/>
      <c r="Q183" s="621"/>
      <c r="R183" s="621"/>
      <c r="S183" s="621"/>
      <c r="V183" s="78"/>
    </row>
    <row r="184" spans="2:22" ht="12.75" customHeight="1">
      <c r="B184" s="1398">
        <v>158</v>
      </c>
      <c r="C184" s="1402"/>
      <c r="D184" s="2439"/>
      <c r="E184" s="2439"/>
      <c r="F184" s="1402"/>
      <c r="G184" s="1402"/>
      <c r="H184" s="103"/>
      <c r="I184" s="1401"/>
      <c r="J184" s="1395" t="str">
        <f t="shared" si="14"/>
        <v/>
      </c>
      <c r="K184" s="1400"/>
      <c r="L184" s="103"/>
      <c r="M184" s="1393" t="str">
        <f t="shared" si="15"/>
        <v/>
      </c>
      <c r="N184" s="1392" t="str">
        <f t="shared" si="13"/>
        <v/>
      </c>
      <c r="O184" s="1391"/>
      <c r="P184" s="1390"/>
      <c r="Q184" s="621"/>
      <c r="R184" s="621"/>
      <c r="S184" s="621"/>
      <c r="V184" s="78"/>
    </row>
    <row r="185" spans="2:22" ht="12.75" customHeight="1">
      <c r="B185" s="1398">
        <v>159</v>
      </c>
      <c r="C185" s="587"/>
      <c r="D185" s="2439"/>
      <c r="E185" s="2439"/>
      <c r="F185" s="587"/>
      <c r="G185" s="587"/>
      <c r="H185" s="1399"/>
      <c r="I185" s="1396"/>
      <c r="J185" s="1395" t="str">
        <f t="shared" si="14"/>
        <v/>
      </c>
      <c r="K185" s="1394"/>
      <c r="L185" s="587"/>
      <c r="M185" s="1393" t="str">
        <f t="shared" si="15"/>
        <v/>
      </c>
      <c r="N185" s="1392" t="str">
        <f t="shared" si="13"/>
        <v/>
      </c>
      <c r="O185" s="1391"/>
      <c r="P185" s="1390"/>
      <c r="Q185" s="621"/>
      <c r="R185" s="1389"/>
      <c r="S185" s="1389"/>
      <c r="V185" s="78"/>
    </row>
    <row r="186" spans="2:22" ht="12.75" customHeight="1">
      <c r="B186" s="1398">
        <v>160</v>
      </c>
      <c r="C186" s="587"/>
      <c r="D186" s="2439"/>
      <c r="E186" s="2439"/>
      <c r="F186" s="587"/>
      <c r="G186" s="587"/>
      <c r="H186" s="1399"/>
      <c r="I186" s="1396"/>
      <c r="J186" s="1395" t="str">
        <f t="shared" si="14"/>
        <v/>
      </c>
      <c r="K186" s="1394"/>
      <c r="L186" s="587"/>
      <c r="M186" s="1393" t="str">
        <f t="shared" si="15"/>
        <v/>
      </c>
      <c r="N186" s="1392" t="str">
        <f t="shared" si="13"/>
        <v/>
      </c>
      <c r="O186" s="1391"/>
      <c r="P186" s="1390"/>
      <c r="Q186" s="621"/>
      <c r="R186" s="1389"/>
      <c r="S186" s="1389"/>
      <c r="V186" s="78"/>
    </row>
    <row r="187" spans="2:22" ht="12.75" customHeight="1">
      <c r="B187" s="1398">
        <v>161</v>
      </c>
      <c r="C187" s="587"/>
      <c r="D187" s="2439"/>
      <c r="E187" s="2439"/>
      <c r="F187" s="587"/>
      <c r="G187" s="587"/>
      <c r="H187" s="1399"/>
      <c r="I187" s="1396"/>
      <c r="J187" s="1395" t="str">
        <f t="shared" si="14"/>
        <v/>
      </c>
      <c r="K187" s="1394"/>
      <c r="L187" s="587"/>
      <c r="M187" s="1393" t="str">
        <f t="shared" si="15"/>
        <v/>
      </c>
      <c r="N187" s="1392" t="str">
        <f t="shared" ref="N187:N218" si="16">IFERROR(IF(G187="Vacant","NA",I187/(L187/12)),"")</f>
        <v/>
      </c>
      <c r="O187" s="1391"/>
      <c r="P187" s="1390"/>
      <c r="Q187" s="621"/>
      <c r="R187" s="1389"/>
      <c r="S187" s="1389"/>
      <c r="V187" s="78"/>
    </row>
    <row r="188" spans="2:22" ht="12.75" customHeight="1">
      <c r="B188" s="1398">
        <v>162</v>
      </c>
      <c r="C188" s="587"/>
      <c r="D188" s="2439"/>
      <c r="E188" s="2439"/>
      <c r="F188" s="587"/>
      <c r="G188" s="587"/>
      <c r="H188" s="1399"/>
      <c r="I188" s="1396"/>
      <c r="J188" s="1395" t="str">
        <f t="shared" ref="J188:J219" si="17">IF($Q$23&gt;=B188,H188-I188,"")</f>
        <v/>
      </c>
      <c r="K188" s="1394"/>
      <c r="L188" s="587"/>
      <c r="M188" s="1393" t="str">
        <f t="shared" si="15"/>
        <v/>
      </c>
      <c r="N188" s="1392" t="str">
        <f t="shared" si="16"/>
        <v/>
      </c>
      <c r="O188" s="1391"/>
      <c r="P188" s="1390"/>
      <c r="Q188" s="621"/>
      <c r="R188" s="1389"/>
      <c r="S188" s="1389"/>
      <c r="V188" s="78"/>
    </row>
    <row r="189" spans="2:22" ht="12.75" customHeight="1">
      <c r="B189" s="1398">
        <v>163</v>
      </c>
      <c r="C189" s="587"/>
      <c r="D189" s="2439"/>
      <c r="E189" s="2439"/>
      <c r="F189" s="587"/>
      <c r="G189" s="587"/>
      <c r="H189" s="1399"/>
      <c r="I189" s="1396"/>
      <c r="J189" s="1395" t="str">
        <f t="shared" si="17"/>
        <v/>
      </c>
      <c r="K189" s="1394"/>
      <c r="L189" s="587"/>
      <c r="M189" s="1393" t="str">
        <f t="shared" si="15"/>
        <v/>
      </c>
      <c r="N189" s="1392" t="str">
        <f t="shared" si="16"/>
        <v/>
      </c>
      <c r="O189" s="1391"/>
      <c r="P189" s="1390"/>
      <c r="Q189" s="621"/>
      <c r="R189" s="1389"/>
      <c r="S189" s="1389"/>
      <c r="V189" s="78"/>
    </row>
    <row r="190" spans="2:22" ht="12.75" customHeight="1">
      <c r="B190" s="1398">
        <v>164</v>
      </c>
      <c r="C190" s="587"/>
      <c r="D190" s="2439"/>
      <c r="E190" s="2439"/>
      <c r="F190" s="587"/>
      <c r="G190" s="587"/>
      <c r="H190" s="1399"/>
      <c r="I190" s="1396"/>
      <c r="J190" s="1395" t="str">
        <f t="shared" si="17"/>
        <v/>
      </c>
      <c r="K190" s="1394"/>
      <c r="L190" s="587"/>
      <c r="M190" s="1393" t="str">
        <f t="shared" si="15"/>
        <v/>
      </c>
      <c r="N190" s="1392" t="str">
        <f t="shared" si="16"/>
        <v/>
      </c>
      <c r="O190" s="1391"/>
      <c r="P190" s="1390"/>
      <c r="Q190" s="621"/>
      <c r="R190" s="1389"/>
      <c r="S190" s="1389"/>
      <c r="V190" s="78"/>
    </row>
    <row r="191" spans="2:22" ht="12.75" customHeight="1">
      <c r="B191" s="1398">
        <v>165</v>
      </c>
      <c r="C191" s="587"/>
      <c r="D191" s="2439"/>
      <c r="E191" s="2439"/>
      <c r="F191" s="587"/>
      <c r="G191" s="587"/>
      <c r="H191" s="1399"/>
      <c r="I191" s="1396"/>
      <c r="J191" s="1395" t="str">
        <f t="shared" si="17"/>
        <v/>
      </c>
      <c r="K191" s="1394"/>
      <c r="L191" s="587"/>
      <c r="M191" s="1393" t="str">
        <f t="shared" si="15"/>
        <v/>
      </c>
      <c r="N191" s="1392" t="str">
        <f t="shared" si="16"/>
        <v/>
      </c>
      <c r="O191" s="1391"/>
      <c r="P191" s="1390"/>
      <c r="Q191" s="621"/>
      <c r="R191" s="1389"/>
      <c r="S191" s="1389"/>
      <c r="V191" s="78"/>
    </row>
    <row r="192" spans="2:22" ht="12.75" customHeight="1">
      <c r="B192" s="1398">
        <v>166</v>
      </c>
      <c r="C192" s="587"/>
      <c r="D192" s="2439"/>
      <c r="E192" s="2439"/>
      <c r="F192" s="587"/>
      <c r="G192" s="587"/>
      <c r="H192" s="1399"/>
      <c r="I192" s="1396"/>
      <c r="J192" s="1395" t="str">
        <f t="shared" si="17"/>
        <v/>
      </c>
      <c r="K192" s="1394"/>
      <c r="L192" s="587"/>
      <c r="M192" s="1393" t="str">
        <f t="shared" si="15"/>
        <v/>
      </c>
      <c r="N192" s="1392" t="str">
        <f t="shared" si="16"/>
        <v/>
      </c>
      <c r="O192" s="1391"/>
      <c r="P192" s="1390"/>
      <c r="Q192" s="621"/>
      <c r="R192" s="1389"/>
      <c r="S192" s="1389"/>
      <c r="V192" s="78"/>
    </row>
    <row r="193" spans="2:22" ht="12.75" customHeight="1">
      <c r="B193" s="1398">
        <v>167</v>
      </c>
      <c r="C193" s="587"/>
      <c r="D193" s="2439"/>
      <c r="E193" s="2439"/>
      <c r="F193" s="587"/>
      <c r="G193" s="587"/>
      <c r="H193" s="1399"/>
      <c r="I193" s="1396"/>
      <c r="J193" s="1395" t="str">
        <f t="shared" si="17"/>
        <v/>
      </c>
      <c r="K193" s="1394"/>
      <c r="L193" s="587"/>
      <c r="M193" s="1393" t="str">
        <f t="shared" si="15"/>
        <v/>
      </c>
      <c r="N193" s="1392" t="str">
        <f t="shared" si="16"/>
        <v/>
      </c>
      <c r="O193" s="1391"/>
      <c r="P193" s="1390"/>
      <c r="Q193" s="621"/>
      <c r="R193" s="1389"/>
      <c r="S193" s="1389"/>
      <c r="V193" s="78"/>
    </row>
    <row r="194" spans="2:22" ht="12.75" customHeight="1">
      <c r="B194" s="1398">
        <v>168</v>
      </c>
      <c r="C194" s="587"/>
      <c r="D194" s="2439"/>
      <c r="E194" s="2439"/>
      <c r="F194" s="587"/>
      <c r="G194" s="587"/>
      <c r="H194" s="1399"/>
      <c r="I194" s="1396"/>
      <c r="J194" s="1395" t="str">
        <f t="shared" si="17"/>
        <v/>
      </c>
      <c r="K194" s="1394"/>
      <c r="L194" s="587"/>
      <c r="M194" s="1393" t="str">
        <f t="shared" si="15"/>
        <v/>
      </c>
      <c r="N194" s="1392" t="str">
        <f t="shared" si="16"/>
        <v/>
      </c>
      <c r="O194" s="1391"/>
      <c r="P194" s="1390"/>
      <c r="Q194" s="621"/>
      <c r="R194" s="1389"/>
      <c r="S194" s="1389"/>
      <c r="V194" s="78"/>
    </row>
    <row r="195" spans="2:22" ht="12.75" customHeight="1">
      <c r="B195" s="1398">
        <v>169</v>
      </c>
      <c r="C195" s="587"/>
      <c r="D195" s="2439"/>
      <c r="E195" s="2439"/>
      <c r="F195" s="587"/>
      <c r="G195" s="587"/>
      <c r="H195" s="1399"/>
      <c r="I195" s="1396"/>
      <c r="J195" s="1395" t="str">
        <f t="shared" si="17"/>
        <v/>
      </c>
      <c r="K195" s="1394"/>
      <c r="L195" s="587"/>
      <c r="M195" s="1393" t="str">
        <f t="shared" si="15"/>
        <v/>
      </c>
      <c r="N195" s="1392" t="str">
        <f t="shared" si="16"/>
        <v/>
      </c>
      <c r="O195" s="1391"/>
      <c r="P195" s="1390"/>
      <c r="Q195" s="621"/>
      <c r="R195" s="1389"/>
      <c r="S195" s="1389"/>
      <c r="V195" s="78"/>
    </row>
    <row r="196" spans="2:22" ht="12.75" customHeight="1">
      <c r="B196" s="1398">
        <v>170</v>
      </c>
      <c r="C196" s="587"/>
      <c r="D196" s="2439"/>
      <c r="E196" s="2439"/>
      <c r="F196" s="587"/>
      <c r="G196" s="587"/>
      <c r="H196" s="1399"/>
      <c r="I196" s="1396"/>
      <c r="J196" s="1395" t="str">
        <f t="shared" si="17"/>
        <v/>
      </c>
      <c r="K196" s="1394"/>
      <c r="L196" s="587"/>
      <c r="M196" s="1393" t="str">
        <f t="shared" si="15"/>
        <v/>
      </c>
      <c r="N196" s="1392" t="str">
        <f t="shared" si="16"/>
        <v/>
      </c>
      <c r="O196" s="1391"/>
      <c r="P196" s="1390"/>
      <c r="Q196" s="621"/>
      <c r="R196" s="1389"/>
      <c r="S196" s="1389"/>
      <c r="V196" s="78"/>
    </row>
    <row r="197" spans="2:22" ht="12.75" customHeight="1">
      <c r="B197" s="1398">
        <v>171</v>
      </c>
      <c r="C197" s="587"/>
      <c r="D197" s="2439"/>
      <c r="E197" s="2439"/>
      <c r="F197" s="587"/>
      <c r="G197" s="587"/>
      <c r="H197" s="1399"/>
      <c r="I197" s="1396"/>
      <c r="J197" s="1395" t="str">
        <f t="shared" si="17"/>
        <v/>
      </c>
      <c r="K197" s="1394"/>
      <c r="L197" s="587"/>
      <c r="M197" s="1393" t="str">
        <f t="shared" si="15"/>
        <v/>
      </c>
      <c r="N197" s="1392" t="str">
        <f t="shared" si="16"/>
        <v/>
      </c>
      <c r="O197" s="1391"/>
      <c r="P197" s="1390"/>
      <c r="Q197" s="621"/>
      <c r="R197" s="1389"/>
      <c r="S197" s="1389"/>
      <c r="V197" s="78"/>
    </row>
    <row r="198" spans="2:22" ht="12.75" customHeight="1">
      <c r="B198" s="1398">
        <v>172</v>
      </c>
      <c r="C198" s="587"/>
      <c r="D198" s="2439"/>
      <c r="E198" s="2439"/>
      <c r="F198" s="587"/>
      <c r="G198" s="587"/>
      <c r="H198" s="1399"/>
      <c r="I198" s="1396"/>
      <c r="J198" s="1395" t="str">
        <f t="shared" si="17"/>
        <v/>
      </c>
      <c r="K198" s="1394"/>
      <c r="L198" s="587"/>
      <c r="M198" s="1393" t="str">
        <f t="shared" si="15"/>
        <v/>
      </c>
      <c r="N198" s="1392" t="str">
        <f t="shared" si="16"/>
        <v/>
      </c>
      <c r="O198" s="1391"/>
      <c r="P198" s="1390"/>
      <c r="Q198" s="621"/>
      <c r="R198" s="1389"/>
      <c r="S198" s="1389"/>
      <c r="V198" s="78"/>
    </row>
    <row r="199" spans="2:22" ht="12.75" customHeight="1">
      <c r="B199" s="1398">
        <v>173</v>
      </c>
      <c r="C199" s="587"/>
      <c r="D199" s="2439"/>
      <c r="E199" s="2439"/>
      <c r="F199" s="587"/>
      <c r="G199" s="587"/>
      <c r="H199" s="1399"/>
      <c r="I199" s="1396"/>
      <c r="J199" s="1395" t="str">
        <f t="shared" si="17"/>
        <v/>
      </c>
      <c r="K199" s="1394"/>
      <c r="L199" s="587"/>
      <c r="M199" s="1393" t="str">
        <f t="shared" si="15"/>
        <v/>
      </c>
      <c r="N199" s="1392" t="str">
        <f t="shared" si="16"/>
        <v/>
      </c>
      <c r="O199" s="1391"/>
      <c r="P199" s="1390"/>
      <c r="Q199" s="621"/>
      <c r="R199" s="1389"/>
      <c r="S199" s="1389"/>
      <c r="V199" s="78"/>
    </row>
    <row r="200" spans="2:22" ht="12.75" customHeight="1">
      <c r="B200" s="1398">
        <v>174</v>
      </c>
      <c r="C200" s="587"/>
      <c r="D200" s="2439"/>
      <c r="E200" s="2439"/>
      <c r="F200" s="587"/>
      <c r="G200" s="587"/>
      <c r="H200" s="1399"/>
      <c r="I200" s="1396"/>
      <c r="J200" s="1395" t="str">
        <f t="shared" si="17"/>
        <v/>
      </c>
      <c r="K200" s="1394"/>
      <c r="L200" s="587"/>
      <c r="M200" s="1393" t="str">
        <f t="shared" si="15"/>
        <v/>
      </c>
      <c r="N200" s="1392" t="str">
        <f t="shared" si="16"/>
        <v/>
      </c>
      <c r="O200" s="1391"/>
      <c r="P200" s="1390"/>
      <c r="Q200" s="621"/>
      <c r="R200" s="1389"/>
      <c r="S200" s="1389"/>
      <c r="V200" s="78"/>
    </row>
    <row r="201" spans="2:22" ht="12.75" customHeight="1">
      <c r="B201" s="1398">
        <v>175</v>
      </c>
      <c r="C201" s="587"/>
      <c r="D201" s="2439"/>
      <c r="E201" s="2439"/>
      <c r="F201" s="587"/>
      <c r="G201" s="587"/>
      <c r="H201" s="1399"/>
      <c r="I201" s="1396"/>
      <c r="J201" s="1395" t="str">
        <f t="shared" si="17"/>
        <v/>
      </c>
      <c r="K201" s="1394"/>
      <c r="L201" s="587"/>
      <c r="M201" s="1393" t="str">
        <f t="shared" ref="M201:M226" si="18">IF(G201="Vacant","NA",IF(G201=1,(L201/$E$17),IF(G201=2,(L201/$E$18),IF(G201=3,(L201/$E$19),IF(G201=4,(L201/$E$20),IF(G201=5,(L201/$E$21),IF(G201=6,(L201/$E$22),IF(G201=7,(L201/$E$23),IF(G201=8,(L201/$E$24),IF(G201=9,(L201/W186),IF(G201=10,(L201/W187),"")))))))))))</f>
        <v/>
      </c>
      <c r="N201" s="1392" t="str">
        <f t="shared" si="16"/>
        <v/>
      </c>
      <c r="O201" s="1391"/>
      <c r="P201" s="1390"/>
      <c r="Q201" s="621"/>
      <c r="R201" s="1389"/>
      <c r="S201" s="1389"/>
      <c r="V201" s="78"/>
    </row>
    <row r="202" spans="2:22" ht="12.75" customHeight="1">
      <c r="B202" s="1398">
        <v>176</v>
      </c>
      <c r="C202" s="587"/>
      <c r="D202" s="2439"/>
      <c r="E202" s="2439"/>
      <c r="F202" s="587"/>
      <c r="G202" s="587"/>
      <c r="H202" s="1399"/>
      <c r="I202" s="1396"/>
      <c r="J202" s="1395" t="str">
        <f t="shared" si="17"/>
        <v/>
      </c>
      <c r="K202" s="1394"/>
      <c r="L202" s="587"/>
      <c r="M202" s="1393" t="str">
        <f t="shared" si="18"/>
        <v/>
      </c>
      <c r="N202" s="1392" t="str">
        <f t="shared" si="16"/>
        <v/>
      </c>
      <c r="O202" s="1391"/>
      <c r="P202" s="1390"/>
      <c r="Q202" s="621"/>
      <c r="R202" s="1389"/>
      <c r="S202" s="1389"/>
      <c r="V202" s="78"/>
    </row>
    <row r="203" spans="2:22" ht="12.75" customHeight="1">
      <c r="B203" s="1398">
        <v>177</v>
      </c>
      <c r="C203" s="587"/>
      <c r="D203" s="2439"/>
      <c r="E203" s="2439"/>
      <c r="F203" s="587"/>
      <c r="G203" s="587"/>
      <c r="H203" s="1399"/>
      <c r="I203" s="1396"/>
      <c r="J203" s="1395" t="str">
        <f t="shared" si="17"/>
        <v/>
      </c>
      <c r="K203" s="1394"/>
      <c r="L203" s="587"/>
      <c r="M203" s="1393" t="str">
        <f t="shared" si="18"/>
        <v/>
      </c>
      <c r="N203" s="1392" t="str">
        <f t="shared" si="16"/>
        <v/>
      </c>
      <c r="O203" s="1391"/>
      <c r="P203" s="1390"/>
      <c r="Q203" s="621"/>
      <c r="R203" s="1389"/>
      <c r="S203" s="1389"/>
      <c r="V203" s="78"/>
    </row>
    <row r="204" spans="2:22" ht="12.75" customHeight="1">
      <c r="B204" s="1398">
        <v>178</v>
      </c>
      <c r="C204" s="587"/>
      <c r="D204" s="2439"/>
      <c r="E204" s="2439"/>
      <c r="F204" s="587"/>
      <c r="G204" s="587"/>
      <c r="H204" s="1399"/>
      <c r="I204" s="1396"/>
      <c r="J204" s="1395" t="str">
        <f t="shared" si="17"/>
        <v/>
      </c>
      <c r="K204" s="1394"/>
      <c r="L204" s="587"/>
      <c r="M204" s="1393" t="str">
        <f t="shared" si="18"/>
        <v/>
      </c>
      <c r="N204" s="1392" t="str">
        <f t="shared" si="16"/>
        <v/>
      </c>
      <c r="O204" s="1391"/>
      <c r="P204" s="1390"/>
      <c r="Q204" s="621"/>
      <c r="R204" s="1389"/>
      <c r="S204" s="1389"/>
      <c r="V204" s="78"/>
    </row>
    <row r="205" spans="2:22" ht="12.75" customHeight="1">
      <c r="B205" s="1398">
        <v>179</v>
      </c>
      <c r="C205" s="587"/>
      <c r="D205" s="2439"/>
      <c r="E205" s="2439"/>
      <c r="F205" s="587"/>
      <c r="G205" s="587"/>
      <c r="H205" s="1399"/>
      <c r="I205" s="1396"/>
      <c r="J205" s="1395" t="str">
        <f t="shared" si="17"/>
        <v/>
      </c>
      <c r="K205" s="1394"/>
      <c r="L205" s="587"/>
      <c r="M205" s="1393" t="str">
        <f t="shared" si="18"/>
        <v/>
      </c>
      <c r="N205" s="1392" t="str">
        <f t="shared" si="16"/>
        <v/>
      </c>
      <c r="O205" s="1391"/>
      <c r="P205" s="1390"/>
      <c r="Q205" s="621"/>
      <c r="R205" s="1389"/>
      <c r="S205" s="1389"/>
      <c r="V205" s="78"/>
    </row>
    <row r="206" spans="2:22" ht="12.75" customHeight="1">
      <c r="B206" s="1398">
        <v>180</v>
      </c>
      <c r="C206" s="587"/>
      <c r="D206" s="2439"/>
      <c r="E206" s="2439"/>
      <c r="F206" s="587"/>
      <c r="G206" s="587"/>
      <c r="H206" s="1399"/>
      <c r="I206" s="1396"/>
      <c r="J206" s="1395" t="str">
        <f t="shared" si="17"/>
        <v/>
      </c>
      <c r="K206" s="1394"/>
      <c r="L206" s="587"/>
      <c r="M206" s="1393" t="str">
        <f t="shared" si="18"/>
        <v/>
      </c>
      <c r="N206" s="1392" t="str">
        <f t="shared" si="16"/>
        <v/>
      </c>
      <c r="O206" s="1391"/>
      <c r="P206" s="1390"/>
      <c r="Q206" s="621"/>
      <c r="R206" s="1389"/>
      <c r="S206" s="1389"/>
      <c r="V206" s="78"/>
    </row>
    <row r="207" spans="2:22" ht="12.75" customHeight="1">
      <c r="B207" s="1398">
        <v>181</v>
      </c>
      <c r="C207" s="587"/>
      <c r="D207" s="2439"/>
      <c r="E207" s="2439"/>
      <c r="F207" s="587"/>
      <c r="G207" s="587"/>
      <c r="H207" s="1399"/>
      <c r="I207" s="1396"/>
      <c r="J207" s="1395" t="str">
        <f t="shared" si="17"/>
        <v/>
      </c>
      <c r="K207" s="1394"/>
      <c r="L207" s="587"/>
      <c r="M207" s="1393" t="str">
        <f t="shared" si="18"/>
        <v/>
      </c>
      <c r="N207" s="1392" t="str">
        <f t="shared" si="16"/>
        <v/>
      </c>
      <c r="O207" s="1391"/>
      <c r="P207" s="1390"/>
      <c r="Q207" s="621"/>
      <c r="R207" s="1389"/>
      <c r="S207" s="1389"/>
      <c r="V207" s="78"/>
    </row>
    <row r="208" spans="2:22" ht="12.75" customHeight="1">
      <c r="B208" s="1398">
        <v>182</v>
      </c>
      <c r="C208" s="587"/>
      <c r="D208" s="2439"/>
      <c r="E208" s="2439"/>
      <c r="F208" s="587"/>
      <c r="G208" s="587"/>
      <c r="H208" s="1399"/>
      <c r="I208" s="1396"/>
      <c r="J208" s="1395" t="str">
        <f t="shared" si="17"/>
        <v/>
      </c>
      <c r="K208" s="1394"/>
      <c r="L208" s="587"/>
      <c r="M208" s="1393" t="str">
        <f t="shared" si="18"/>
        <v/>
      </c>
      <c r="N208" s="1392" t="str">
        <f t="shared" si="16"/>
        <v/>
      </c>
      <c r="O208" s="1391"/>
      <c r="P208" s="1390"/>
      <c r="Q208" s="621"/>
      <c r="R208" s="1389"/>
      <c r="S208" s="1389"/>
      <c r="V208" s="78"/>
    </row>
    <row r="209" spans="2:22" ht="12.75" customHeight="1">
      <c r="B209" s="1398">
        <v>183</v>
      </c>
      <c r="C209" s="587"/>
      <c r="D209" s="2439"/>
      <c r="E209" s="2439"/>
      <c r="F209" s="587"/>
      <c r="G209" s="587"/>
      <c r="H209" s="1399"/>
      <c r="I209" s="1396"/>
      <c r="J209" s="1395" t="str">
        <f t="shared" si="17"/>
        <v/>
      </c>
      <c r="K209" s="1394"/>
      <c r="L209" s="587"/>
      <c r="M209" s="1393" t="str">
        <f t="shared" si="18"/>
        <v/>
      </c>
      <c r="N209" s="1392" t="str">
        <f t="shared" si="16"/>
        <v/>
      </c>
      <c r="O209" s="1391"/>
      <c r="P209" s="1390"/>
      <c r="Q209" s="621"/>
      <c r="R209" s="1389"/>
      <c r="S209" s="1389"/>
      <c r="V209" s="78"/>
    </row>
    <row r="210" spans="2:22" ht="12.75" customHeight="1">
      <c r="B210" s="1398">
        <v>184</v>
      </c>
      <c r="C210" s="587"/>
      <c r="D210" s="2439"/>
      <c r="E210" s="2439"/>
      <c r="F210" s="587"/>
      <c r="G210" s="587"/>
      <c r="H210" s="1399"/>
      <c r="I210" s="1396"/>
      <c r="J210" s="1395" t="str">
        <f t="shared" si="17"/>
        <v/>
      </c>
      <c r="K210" s="1394"/>
      <c r="L210" s="587"/>
      <c r="M210" s="1393" t="str">
        <f t="shared" si="18"/>
        <v/>
      </c>
      <c r="N210" s="1392" t="str">
        <f t="shared" si="16"/>
        <v/>
      </c>
      <c r="O210" s="1391"/>
      <c r="P210" s="1390"/>
      <c r="Q210" s="621"/>
      <c r="R210" s="1389"/>
      <c r="S210" s="1389"/>
      <c r="V210" s="78"/>
    </row>
    <row r="211" spans="2:22" ht="12.75" customHeight="1">
      <c r="B211" s="1398">
        <v>185</v>
      </c>
      <c r="C211" s="587"/>
      <c r="D211" s="2439"/>
      <c r="E211" s="2439"/>
      <c r="F211" s="587"/>
      <c r="G211" s="587"/>
      <c r="H211" s="1399"/>
      <c r="I211" s="1396"/>
      <c r="J211" s="1395" t="str">
        <f t="shared" si="17"/>
        <v/>
      </c>
      <c r="K211" s="1394"/>
      <c r="L211" s="587"/>
      <c r="M211" s="1393" t="str">
        <f t="shared" si="18"/>
        <v/>
      </c>
      <c r="N211" s="1392" t="str">
        <f t="shared" si="16"/>
        <v/>
      </c>
      <c r="O211" s="1391"/>
      <c r="P211" s="1390"/>
      <c r="Q211" s="621"/>
      <c r="R211" s="1389"/>
      <c r="S211" s="1389"/>
      <c r="V211" s="78"/>
    </row>
    <row r="212" spans="2:22" ht="12.75" customHeight="1">
      <c r="B212" s="1398">
        <v>186</v>
      </c>
      <c r="C212" s="587"/>
      <c r="D212" s="2439"/>
      <c r="E212" s="2439"/>
      <c r="F212" s="587"/>
      <c r="G212" s="587"/>
      <c r="H212" s="1399"/>
      <c r="I212" s="1396"/>
      <c r="J212" s="1395" t="str">
        <f t="shared" si="17"/>
        <v/>
      </c>
      <c r="K212" s="1394"/>
      <c r="L212" s="587"/>
      <c r="M212" s="1393" t="str">
        <f t="shared" si="18"/>
        <v/>
      </c>
      <c r="N212" s="1392" t="str">
        <f t="shared" si="16"/>
        <v/>
      </c>
      <c r="O212" s="1391"/>
      <c r="P212" s="1390"/>
      <c r="Q212" s="621"/>
      <c r="R212" s="1389"/>
      <c r="S212" s="1389"/>
      <c r="V212" s="78"/>
    </row>
    <row r="213" spans="2:22" ht="12.75" customHeight="1">
      <c r="B213" s="1398">
        <v>187</v>
      </c>
      <c r="C213" s="587"/>
      <c r="D213" s="2439"/>
      <c r="E213" s="2439"/>
      <c r="F213" s="587"/>
      <c r="G213" s="587"/>
      <c r="H213" s="1399"/>
      <c r="I213" s="1396"/>
      <c r="J213" s="1395" t="str">
        <f t="shared" si="17"/>
        <v/>
      </c>
      <c r="K213" s="1394"/>
      <c r="L213" s="587"/>
      <c r="M213" s="1393" t="str">
        <f t="shared" si="18"/>
        <v/>
      </c>
      <c r="N213" s="1392" t="str">
        <f t="shared" si="16"/>
        <v/>
      </c>
      <c r="O213" s="1391"/>
      <c r="P213" s="1390"/>
      <c r="Q213" s="621"/>
      <c r="R213" s="1389"/>
      <c r="S213" s="1389"/>
      <c r="V213" s="78"/>
    </row>
    <row r="214" spans="2:22" ht="12.75" customHeight="1">
      <c r="B214" s="1398">
        <v>188</v>
      </c>
      <c r="C214" s="587"/>
      <c r="D214" s="2439"/>
      <c r="E214" s="2439"/>
      <c r="F214" s="587"/>
      <c r="G214" s="587"/>
      <c r="H214" s="1399"/>
      <c r="I214" s="1396"/>
      <c r="J214" s="1395" t="str">
        <f t="shared" si="17"/>
        <v/>
      </c>
      <c r="K214" s="1394"/>
      <c r="L214" s="587"/>
      <c r="M214" s="1393" t="str">
        <f t="shared" si="18"/>
        <v/>
      </c>
      <c r="N214" s="1392" t="str">
        <f t="shared" si="16"/>
        <v/>
      </c>
      <c r="O214" s="1391"/>
      <c r="P214" s="1390"/>
      <c r="Q214" s="621"/>
      <c r="R214" s="1389"/>
      <c r="S214" s="1389"/>
      <c r="V214" s="78"/>
    </row>
    <row r="215" spans="2:22" ht="12.75" customHeight="1">
      <c r="B215" s="1398">
        <v>189</v>
      </c>
      <c r="C215" s="587"/>
      <c r="D215" s="2439"/>
      <c r="E215" s="2439"/>
      <c r="F215" s="587"/>
      <c r="G215" s="587"/>
      <c r="H215" s="1399"/>
      <c r="I215" s="1396"/>
      <c r="J215" s="1395" t="str">
        <f t="shared" si="17"/>
        <v/>
      </c>
      <c r="K215" s="1394"/>
      <c r="L215" s="587"/>
      <c r="M215" s="1393" t="str">
        <f t="shared" si="18"/>
        <v/>
      </c>
      <c r="N215" s="1392" t="str">
        <f t="shared" si="16"/>
        <v/>
      </c>
      <c r="O215" s="1391"/>
      <c r="P215" s="1390"/>
      <c r="Q215" s="621"/>
      <c r="R215" s="1389"/>
      <c r="S215" s="1389"/>
      <c r="V215" s="78"/>
    </row>
    <row r="216" spans="2:22" ht="12.75" customHeight="1">
      <c r="B216" s="1398">
        <v>190</v>
      </c>
      <c r="C216" s="587"/>
      <c r="D216" s="2439"/>
      <c r="E216" s="2439"/>
      <c r="F216" s="587"/>
      <c r="G216" s="587"/>
      <c r="H216" s="1399"/>
      <c r="I216" s="1396"/>
      <c r="J216" s="1395" t="str">
        <f t="shared" si="17"/>
        <v/>
      </c>
      <c r="K216" s="1394"/>
      <c r="L216" s="587"/>
      <c r="M216" s="1393" t="str">
        <f t="shared" si="18"/>
        <v/>
      </c>
      <c r="N216" s="1392" t="str">
        <f t="shared" si="16"/>
        <v/>
      </c>
      <c r="O216" s="1391"/>
      <c r="P216" s="1390"/>
      <c r="Q216" s="621"/>
      <c r="R216" s="1389"/>
      <c r="S216" s="1389"/>
      <c r="V216" s="78"/>
    </row>
    <row r="217" spans="2:22" ht="12.75" customHeight="1">
      <c r="B217" s="1398">
        <v>191</v>
      </c>
      <c r="C217" s="587"/>
      <c r="D217" s="2439"/>
      <c r="E217" s="2439"/>
      <c r="F217" s="587"/>
      <c r="G217" s="587"/>
      <c r="H217" s="587"/>
      <c r="I217" s="1396"/>
      <c r="J217" s="1395" t="str">
        <f t="shared" si="17"/>
        <v/>
      </c>
      <c r="K217" s="1394"/>
      <c r="L217" s="587"/>
      <c r="M217" s="1393" t="str">
        <f t="shared" si="18"/>
        <v/>
      </c>
      <c r="N217" s="1392" t="str">
        <f t="shared" si="16"/>
        <v/>
      </c>
      <c r="O217" s="1391"/>
      <c r="P217" s="1390"/>
      <c r="Q217" s="621"/>
      <c r="R217" s="1389"/>
      <c r="S217" s="1389"/>
      <c r="V217" s="78"/>
    </row>
    <row r="218" spans="2:22" ht="12.75" customHeight="1">
      <c r="B218" s="1398">
        <v>192</v>
      </c>
      <c r="C218" s="587"/>
      <c r="D218" s="2439"/>
      <c r="E218" s="2439"/>
      <c r="F218" s="587"/>
      <c r="G218" s="587"/>
      <c r="H218" s="587"/>
      <c r="I218" s="1396"/>
      <c r="J218" s="1395" t="str">
        <f t="shared" si="17"/>
        <v/>
      </c>
      <c r="K218" s="1394"/>
      <c r="L218" s="587"/>
      <c r="M218" s="1393" t="str">
        <f t="shared" si="18"/>
        <v/>
      </c>
      <c r="N218" s="1392" t="str">
        <f t="shared" si="16"/>
        <v/>
      </c>
      <c r="O218" s="1391"/>
      <c r="P218" s="1390"/>
      <c r="Q218" s="621"/>
      <c r="R218" s="1389"/>
      <c r="S218" s="1389"/>
    </row>
    <row r="219" spans="2:22" ht="12.75" customHeight="1">
      <c r="B219" s="1398">
        <v>193</v>
      </c>
      <c r="C219" s="587"/>
      <c r="D219" s="2439"/>
      <c r="E219" s="2439"/>
      <c r="F219" s="587"/>
      <c r="G219" s="587"/>
      <c r="H219" s="587"/>
      <c r="I219" s="1396"/>
      <c r="J219" s="1395" t="str">
        <f t="shared" si="17"/>
        <v/>
      </c>
      <c r="K219" s="1394"/>
      <c r="L219" s="587"/>
      <c r="M219" s="1393" t="str">
        <f t="shared" si="18"/>
        <v/>
      </c>
      <c r="N219" s="1392" t="str">
        <f t="shared" ref="N219:N226" si="19">IFERROR(IF(G219="Vacant","NA",I219/(L219/12)),"")</f>
        <v/>
      </c>
      <c r="O219" s="1391"/>
      <c r="P219" s="1390"/>
      <c r="Q219" s="621"/>
      <c r="R219" s="1389"/>
      <c r="S219" s="1389"/>
    </row>
    <row r="220" spans="2:22" ht="12.75" customHeight="1">
      <c r="B220" s="1398">
        <v>194</v>
      </c>
      <c r="C220" s="587"/>
      <c r="D220" s="2439"/>
      <c r="E220" s="2439"/>
      <c r="F220" s="587"/>
      <c r="G220" s="587"/>
      <c r="H220" s="587"/>
      <c r="I220" s="1396"/>
      <c r="J220" s="1395" t="str">
        <f t="shared" ref="J220:J226" si="20">IF($Q$23&gt;=B220,H220-I220,"")</f>
        <v/>
      </c>
      <c r="K220" s="1394"/>
      <c r="L220" s="587"/>
      <c r="M220" s="1393" t="str">
        <f t="shared" si="18"/>
        <v/>
      </c>
      <c r="N220" s="1392" t="str">
        <f t="shared" si="19"/>
        <v/>
      </c>
      <c r="O220" s="1391"/>
      <c r="P220" s="1390"/>
      <c r="Q220" s="621"/>
      <c r="R220" s="1389"/>
      <c r="S220" s="1389"/>
    </row>
    <row r="221" spans="2:22" ht="12.75" customHeight="1">
      <c r="B221" s="1398">
        <v>195</v>
      </c>
      <c r="C221" s="587"/>
      <c r="D221" s="2439"/>
      <c r="E221" s="2439"/>
      <c r="F221" s="587"/>
      <c r="G221" s="587"/>
      <c r="H221" s="587"/>
      <c r="I221" s="1396"/>
      <c r="J221" s="1395" t="str">
        <f t="shared" si="20"/>
        <v/>
      </c>
      <c r="K221" s="1394"/>
      <c r="L221" s="587"/>
      <c r="M221" s="1393" t="str">
        <f t="shared" si="18"/>
        <v/>
      </c>
      <c r="N221" s="1392" t="str">
        <f t="shared" si="19"/>
        <v/>
      </c>
      <c r="O221" s="1391"/>
      <c r="P221" s="1390"/>
      <c r="Q221" s="621"/>
      <c r="R221" s="1389"/>
      <c r="S221" s="1389"/>
    </row>
    <row r="222" spans="2:22" ht="12.75" customHeight="1">
      <c r="B222" s="1398">
        <v>196</v>
      </c>
      <c r="C222" s="587"/>
      <c r="D222" s="2439"/>
      <c r="E222" s="2439"/>
      <c r="F222" s="587"/>
      <c r="G222" s="587"/>
      <c r="H222" s="587"/>
      <c r="I222" s="1396"/>
      <c r="J222" s="1395" t="str">
        <f t="shared" si="20"/>
        <v/>
      </c>
      <c r="K222" s="1394"/>
      <c r="L222" s="587"/>
      <c r="M222" s="1393" t="str">
        <f t="shared" si="18"/>
        <v/>
      </c>
      <c r="N222" s="1392" t="str">
        <f t="shared" si="19"/>
        <v/>
      </c>
      <c r="O222" s="1391"/>
      <c r="P222" s="1390"/>
      <c r="Q222" s="621"/>
      <c r="R222" s="1389"/>
      <c r="S222" s="1389"/>
    </row>
    <row r="223" spans="2:22" ht="12.75" customHeight="1">
      <c r="B223" s="1398">
        <v>197</v>
      </c>
      <c r="C223" s="587"/>
      <c r="D223" s="2439"/>
      <c r="E223" s="2439"/>
      <c r="F223" s="587"/>
      <c r="G223" s="587"/>
      <c r="H223" s="587"/>
      <c r="I223" s="1396"/>
      <c r="J223" s="1395" t="str">
        <f t="shared" si="20"/>
        <v/>
      </c>
      <c r="K223" s="1394"/>
      <c r="L223" s="587"/>
      <c r="M223" s="1393" t="str">
        <f t="shared" si="18"/>
        <v/>
      </c>
      <c r="N223" s="1392" t="str">
        <f t="shared" si="19"/>
        <v/>
      </c>
      <c r="O223" s="1391"/>
      <c r="P223" s="1390"/>
      <c r="Q223" s="621"/>
      <c r="R223" s="1389"/>
      <c r="S223" s="1389"/>
    </row>
    <row r="224" spans="2:22" ht="12.75" customHeight="1">
      <c r="B224" s="1398">
        <v>198</v>
      </c>
      <c r="C224" s="587"/>
      <c r="D224" s="2439"/>
      <c r="E224" s="2439"/>
      <c r="F224" s="587"/>
      <c r="G224" s="587"/>
      <c r="H224" s="587"/>
      <c r="I224" s="1396"/>
      <c r="J224" s="1395" t="str">
        <f t="shared" si="20"/>
        <v/>
      </c>
      <c r="K224" s="1394"/>
      <c r="L224" s="587"/>
      <c r="M224" s="1393" t="str">
        <f t="shared" si="18"/>
        <v/>
      </c>
      <c r="N224" s="1392" t="str">
        <f t="shared" si="19"/>
        <v/>
      </c>
      <c r="O224" s="1391"/>
      <c r="P224" s="1390"/>
      <c r="Q224" s="621"/>
      <c r="R224" s="1389"/>
      <c r="S224" s="1389"/>
    </row>
    <row r="225" spans="2:19" ht="12.75" customHeight="1">
      <c r="B225" s="1398">
        <v>199</v>
      </c>
      <c r="C225" s="587"/>
      <c r="D225" s="2439"/>
      <c r="E225" s="2439"/>
      <c r="F225" s="587"/>
      <c r="G225" s="587"/>
      <c r="H225" s="587"/>
      <c r="I225" s="1396"/>
      <c r="J225" s="1395" t="str">
        <f t="shared" si="20"/>
        <v/>
      </c>
      <c r="K225" s="1394"/>
      <c r="L225" s="587"/>
      <c r="M225" s="1393" t="str">
        <f t="shared" si="18"/>
        <v/>
      </c>
      <c r="N225" s="1392" t="str">
        <f t="shared" si="19"/>
        <v/>
      </c>
      <c r="O225" s="1391"/>
      <c r="P225" s="1390"/>
      <c r="Q225" s="621"/>
      <c r="R225" s="1389"/>
      <c r="S225" s="1389"/>
    </row>
    <row r="226" spans="2:19" ht="12.75" customHeight="1">
      <c r="B226" s="1397">
        <v>200</v>
      </c>
      <c r="C226" s="587"/>
      <c r="D226" s="587"/>
      <c r="E226" s="587"/>
      <c r="F226" s="587"/>
      <c r="G226" s="587"/>
      <c r="H226" s="587"/>
      <c r="I226" s="1396"/>
      <c r="J226" s="1395" t="str">
        <f t="shared" si="20"/>
        <v/>
      </c>
      <c r="K226" s="1394"/>
      <c r="L226" s="587"/>
      <c r="M226" s="1393" t="str">
        <f t="shared" si="18"/>
        <v/>
      </c>
      <c r="N226" s="1392" t="str">
        <f t="shared" si="19"/>
        <v/>
      </c>
      <c r="O226" s="1391"/>
      <c r="P226" s="1390"/>
      <c r="Q226" s="621"/>
      <c r="R226" s="1389"/>
      <c r="S226" s="1389"/>
    </row>
  </sheetData>
  <sheetProtection password="C9A3" sheet="1" objects="1" scenarios="1" selectLockedCells="1"/>
  <mergeCells count="223">
    <mergeCell ref="D221:E221"/>
    <mergeCell ref="D222:E222"/>
    <mergeCell ref="D223:E223"/>
    <mergeCell ref="D224:E224"/>
    <mergeCell ref="D225:E225"/>
    <mergeCell ref="D216:E216"/>
    <mergeCell ref="D217:E217"/>
    <mergeCell ref="D218:E218"/>
    <mergeCell ref="D219:E219"/>
    <mergeCell ref="D220:E220"/>
    <mergeCell ref="D211:E211"/>
    <mergeCell ref="D212:E212"/>
    <mergeCell ref="D213:E213"/>
    <mergeCell ref="D214:E214"/>
    <mergeCell ref="D215:E215"/>
    <mergeCell ref="D206:E206"/>
    <mergeCell ref="D207:E207"/>
    <mergeCell ref="D208:E208"/>
    <mergeCell ref="D209:E209"/>
    <mergeCell ref="D210:E210"/>
    <mergeCell ref="D195:E195"/>
    <mergeCell ref="D186:E186"/>
    <mergeCell ref="D187:E187"/>
    <mergeCell ref="D188:E188"/>
    <mergeCell ref="D189:E189"/>
    <mergeCell ref="D190:E190"/>
    <mergeCell ref="D16:F16"/>
    <mergeCell ref="D202:E202"/>
    <mergeCell ref="D203:E203"/>
    <mergeCell ref="D181:E181"/>
    <mergeCell ref="D182:E182"/>
    <mergeCell ref="D183:E183"/>
    <mergeCell ref="D166:E166"/>
    <mergeCell ref="D167:E167"/>
    <mergeCell ref="D168:E168"/>
    <mergeCell ref="D169:E169"/>
    <mergeCell ref="D170:E170"/>
    <mergeCell ref="D161:E161"/>
    <mergeCell ref="D162:E162"/>
    <mergeCell ref="D163:E163"/>
    <mergeCell ref="D164:E164"/>
    <mergeCell ref="D165:E165"/>
    <mergeCell ref="D156:E156"/>
    <mergeCell ref="D157:E157"/>
    <mergeCell ref="D204:E204"/>
    <mergeCell ref="D205:E205"/>
    <mergeCell ref="D196:E196"/>
    <mergeCell ref="D197:E197"/>
    <mergeCell ref="D198:E198"/>
    <mergeCell ref="D199:E199"/>
    <mergeCell ref="D200:E200"/>
    <mergeCell ref="D171:E171"/>
    <mergeCell ref="D172:E172"/>
    <mergeCell ref="D173:E173"/>
    <mergeCell ref="D174:E174"/>
    <mergeCell ref="D175:E175"/>
    <mergeCell ref="D201:E201"/>
    <mergeCell ref="D191:E191"/>
    <mergeCell ref="D192:E192"/>
    <mergeCell ref="D193:E193"/>
    <mergeCell ref="D194:E194"/>
    <mergeCell ref="D184:E184"/>
    <mergeCell ref="D185:E185"/>
    <mergeCell ref="D176:E176"/>
    <mergeCell ref="D177:E177"/>
    <mergeCell ref="D178:E178"/>
    <mergeCell ref="D179:E179"/>
    <mergeCell ref="D180:E180"/>
    <mergeCell ref="D158:E158"/>
    <mergeCell ref="D159:E159"/>
    <mergeCell ref="D160:E160"/>
    <mergeCell ref="D151:E151"/>
    <mergeCell ref="D152:E152"/>
    <mergeCell ref="D153:E153"/>
    <mergeCell ref="D154:E154"/>
    <mergeCell ref="D155:E155"/>
    <mergeCell ref="D146:E146"/>
    <mergeCell ref="D147:E147"/>
    <mergeCell ref="D148:E148"/>
    <mergeCell ref="D149:E149"/>
    <mergeCell ref="D150:E150"/>
    <mergeCell ref="D141:E141"/>
    <mergeCell ref="D142:E142"/>
    <mergeCell ref="D143:E143"/>
    <mergeCell ref="D144:E144"/>
    <mergeCell ref="D145:E145"/>
    <mergeCell ref="D136:E136"/>
    <mergeCell ref="D137:E137"/>
    <mergeCell ref="D138:E138"/>
    <mergeCell ref="D139:E139"/>
    <mergeCell ref="D140:E140"/>
    <mergeCell ref="D131:E131"/>
    <mergeCell ref="D132:E132"/>
    <mergeCell ref="D133:E133"/>
    <mergeCell ref="D134:E134"/>
    <mergeCell ref="D135:E135"/>
    <mergeCell ref="D126:E126"/>
    <mergeCell ref="D127:E127"/>
    <mergeCell ref="D128:E128"/>
    <mergeCell ref="D129:E129"/>
    <mergeCell ref="D130:E130"/>
    <mergeCell ref="D121:E121"/>
    <mergeCell ref="D122:E122"/>
    <mergeCell ref="D123:E123"/>
    <mergeCell ref="D124:E124"/>
    <mergeCell ref="D125:E125"/>
    <mergeCell ref="D116:E116"/>
    <mergeCell ref="D117:E117"/>
    <mergeCell ref="D118:E118"/>
    <mergeCell ref="D119:E119"/>
    <mergeCell ref="D120:E120"/>
    <mergeCell ref="D111:E111"/>
    <mergeCell ref="D112:E112"/>
    <mergeCell ref="D113:E113"/>
    <mergeCell ref="D114:E114"/>
    <mergeCell ref="D115:E115"/>
    <mergeCell ref="D106:E106"/>
    <mergeCell ref="D107:E107"/>
    <mergeCell ref="D108:E108"/>
    <mergeCell ref="D109:E109"/>
    <mergeCell ref="D110:E110"/>
    <mergeCell ref="D101:E101"/>
    <mergeCell ref="D102:E102"/>
    <mergeCell ref="D103:E103"/>
    <mergeCell ref="D104:E104"/>
    <mergeCell ref="D105:E105"/>
    <mergeCell ref="D96:E96"/>
    <mergeCell ref="D97:E97"/>
    <mergeCell ref="D98:E98"/>
    <mergeCell ref="D99:E99"/>
    <mergeCell ref="D100:E100"/>
    <mergeCell ref="D91:E91"/>
    <mergeCell ref="D92:E92"/>
    <mergeCell ref="D93:E93"/>
    <mergeCell ref="D94:E94"/>
    <mergeCell ref="D95:E95"/>
    <mergeCell ref="D86:E86"/>
    <mergeCell ref="D87:E87"/>
    <mergeCell ref="D88:E88"/>
    <mergeCell ref="D89:E89"/>
    <mergeCell ref="D90:E90"/>
    <mergeCell ref="D81:E81"/>
    <mergeCell ref="D82:E82"/>
    <mergeCell ref="D83:E83"/>
    <mergeCell ref="D84:E84"/>
    <mergeCell ref="D85:E85"/>
    <mergeCell ref="D76:E76"/>
    <mergeCell ref="D77:E77"/>
    <mergeCell ref="D78:E78"/>
    <mergeCell ref="D79:E79"/>
    <mergeCell ref="D80:E80"/>
    <mergeCell ref="D71:E71"/>
    <mergeCell ref="D72:E72"/>
    <mergeCell ref="D73:E73"/>
    <mergeCell ref="D74:E74"/>
    <mergeCell ref="D75:E75"/>
    <mergeCell ref="D66:E66"/>
    <mergeCell ref="D67:E67"/>
    <mergeCell ref="D68:E68"/>
    <mergeCell ref="D69:E69"/>
    <mergeCell ref="D70:E70"/>
    <mergeCell ref="D61:E61"/>
    <mergeCell ref="D62:E62"/>
    <mergeCell ref="D63:E63"/>
    <mergeCell ref="D64:E64"/>
    <mergeCell ref="D65:E65"/>
    <mergeCell ref="D59:E59"/>
    <mergeCell ref="D60:E60"/>
    <mergeCell ref="D51:E51"/>
    <mergeCell ref="D52:E52"/>
    <mergeCell ref="D53:E53"/>
    <mergeCell ref="D54:E54"/>
    <mergeCell ref="D55:E55"/>
    <mergeCell ref="D56:E56"/>
    <mergeCell ref="D57:E57"/>
    <mergeCell ref="D58:E58"/>
    <mergeCell ref="L25:Q25"/>
    <mergeCell ref="K21:N21"/>
    <mergeCell ref="K19:N19"/>
    <mergeCell ref="K18:N18"/>
    <mergeCell ref="D48:E48"/>
    <mergeCell ref="D49:E49"/>
    <mergeCell ref="D46:E46"/>
    <mergeCell ref="D47:E47"/>
    <mergeCell ref="D32:E32"/>
    <mergeCell ref="D33:E33"/>
    <mergeCell ref="D34:E34"/>
    <mergeCell ref="D35:E35"/>
    <mergeCell ref="D26:E26"/>
    <mergeCell ref="D27:E27"/>
    <mergeCell ref="D28:E28"/>
    <mergeCell ref="D50:E50"/>
    <mergeCell ref="D41:E41"/>
    <mergeCell ref="D42:E42"/>
    <mergeCell ref="D43:E43"/>
    <mergeCell ref="D44:E44"/>
    <mergeCell ref="D45:E45"/>
    <mergeCell ref="D40:E40"/>
    <mergeCell ref="D31:E31"/>
    <mergeCell ref="C25:J25"/>
    <mergeCell ref="B9:C9"/>
    <mergeCell ref="D39:E39"/>
    <mergeCell ref="D15:H15"/>
    <mergeCell ref="D36:E36"/>
    <mergeCell ref="D29:E29"/>
    <mergeCell ref="D30:E30"/>
    <mergeCell ref="D37:E37"/>
    <mergeCell ref="D38:E38"/>
    <mergeCell ref="D13:F13"/>
    <mergeCell ref="D12:E12"/>
    <mergeCell ref="L1:S1"/>
    <mergeCell ref="P2:S2"/>
    <mergeCell ref="H4:S4"/>
    <mergeCell ref="K10:L10"/>
    <mergeCell ref="K8:L9"/>
    <mergeCell ref="R3:S3"/>
    <mergeCell ref="K17:N17"/>
    <mergeCell ref="N24:P24"/>
    <mergeCell ref="M23:P23"/>
    <mergeCell ref="O21:Q21"/>
    <mergeCell ref="O17:Q17"/>
    <mergeCell ref="O18:Q18"/>
    <mergeCell ref="O19:Q19"/>
  </mergeCells>
  <conditionalFormatting sqref="B27:B226">
    <cfRule type="expression" dxfId="48" priority="13">
      <formula>B27&lt;=$Q$23</formula>
    </cfRule>
  </conditionalFormatting>
  <conditionalFormatting sqref="D22:D24">
    <cfRule type="containsErrors" dxfId="47" priority="12">
      <formula>ISERROR(D22)</formula>
    </cfRule>
  </conditionalFormatting>
  <conditionalFormatting sqref="R27:S226 C27:H226">
    <cfRule type="expression" dxfId="46" priority="11">
      <formula>$B27&lt;=$Q$23</formula>
    </cfRule>
  </conditionalFormatting>
  <conditionalFormatting sqref="D15:H15">
    <cfRule type="expression" dxfId="45" priority="10">
      <formula>$D$15="Select project state and county on the Rent Schedule."</formula>
    </cfRule>
  </conditionalFormatting>
  <conditionalFormatting sqref="K19">
    <cfRule type="expression" dxfId="44" priority="14">
      <formula>$K$19="Input the Email For the Above Listed Individual:"</formula>
    </cfRule>
  </conditionalFormatting>
  <conditionalFormatting sqref="J27:J226 M27:N226">
    <cfRule type="expression" dxfId="43" priority="8">
      <formula>$Q$23&gt;=$B27</formula>
    </cfRule>
    <cfRule type="expression" dxfId="42" priority="9">
      <formula>$Q$23&lt;$B27</formula>
    </cfRule>
  </conditionalFormatting>
  <conditionalFormatting sqref="D12:E12">
    <cfRule type="expression" dxfId="41" priority="7">
      <formula>$D$12=0</formula>
    </cfRule>
  </conditionalFormatting>
  <conditionalFormatting sqref="D13:F13">
    <cfRule type="expression" dxfId="40" priority="6">
      <formula>$D$13=0</formula>
    </cfRule>
  </conditionalFormatting>
  <conditionalFormatting sqref="K21">
    <cfRule type="expression" dxfId="39" priority="21">
      <formula>$K$21="Input the As of Date For the TIV:"</formula>
    </cfRule>
  </conditionalFormatting>
  <conditionalFormatting sqref="I27:I226">
    <cfRule type="expression" dxfId="38" priority="22">
      <formula>$B27&lt;=$Q$23</formula>
    </cfRule>
    <cfRule type="expression" dxfId="37" priority="23">
      <formula>$Q$23&lt;B27</formula>
    </cfRule>
  </conditionalFormatting>
  <conditionalFormatting sqref="L27:L226">
    <cfRule type="expression" dxfId="36" priority="5">
      <formula>IF(AND($B27&lt;=$Q$23,$Q$23&gt;0),1,0)</formula>
    </cfRule>
  </conditionalFormatting>
  <conditionalFormatting sqref="K27:K226">
    <cfRule type="expression" dxfId="35" priority="4">
      <formula>IF(AND($B27&lt;=$Q$23,$Q$23&gt;0),1,0)</formula>
    </cfRule>
  </conditionalFormatting>
  <conditionalFormatting sqref="K18">
    <cfRule type="expression" dxfId="34" priority="24">
      <formula>$K$18="Input the Phone Number For the Above Listed Individual:"</formula>
    </cfRule>
  </conditionalFormatting>
  <conditionalFormatting sqref="K17">
    <cfRule type="expression" dxfId="33" priority="25">
      <formula>$K$17="Input the Name of Individual Completing the Form:"</formula>
    </cfRule>
  </conditionalFormatting>
  <conditionalFormatting sqref="H4 C6:M6">
    <cfRule type="expression" dxfId="32" priority="26">
      <formula>$H$4="Input the project name and AHP Project Number at the top of the 'Instructions' tab."</formula>
    </cfRule>
  </conditionalFormatting>
  <conditionalFormatting sqref="O27:Q27">
    <cfRule type="expression" dxfId="31" priority="3">
      <formula>$B27&lt;=$Q$23</formula>
    </cfRule>
  </conditionalFormatting>
  <conditionalFormatting sqref="O28:Q226">
    <cfRule type="expression" dxfId="30" priority="2">
      <formula>$B28&lt;=$Q$23</formula>
    </cfRule>
  </conditionalFormatting>
  <dataValidations count="8">
    <dataValidation type="date" allowBlank="1" showInputMessage="1" showErrorMessage="1" error="A valide date (MM/DD/YYYY) that is equal to or less than today's date is required." sqref="O27:O226">
      <formula1>1</formula1>
      <formula2>$T$16</formula2>
    </dataValidation>
    <dataValidation type="date" allowBlank="1" showInputMessage="1" showErrorMessage="1" error="A valide date (MM/DD/YYYY) that is equal to or less than today's date is required." sqref="O21">
      <formula1>1</formula1>
      <formula2>T16</formula2>
    </dataValidation>
    <dataValidation type="date" allowBlank="1" showInputMessage="1" showErrorMessage="1" error="A valide date (MM/DD/YYYY) that is equal to or less than today's date is required." sqref="P21:Q21">
      <formula1>1</formula1>
      <formula2>AC9</formula2>
    </dataValidation>
    <dataValidation type="list" allowBlank="1" showInputMessage="1" showErrorMessage="1" prompt="Type of rent subsidy can only be selected if the &quot;Rent Subsidy&quot; column is greater than $0." sqref="K27:K226">
      <formula1>IF(J27&gt;0,$AB$27:$AB$32,"None")</formula1>
    </dataValidation>
    <dataValidation type="custom" allowBlank="1" showInputMessage="1" showErrorMessage="1" sqref="R3:S3 K8 M9 B9:H9 J9">
      <formula1>"&lt;0&gt;0"</formula1>
    </dataValidation>
    <dataValidation type="list" allowBlank="1" showInputMessage="1" showErrorMessage="1" error="Select the family from the dropdown._x000a__x000a_If the family size exceeds ten, contact the Seattle Bank for instructions." prompt="If occupied, select the family size. If vacant, select &quot;Vacant.&quot;_x000a__x000a_Note: The HUD Median Income table above only displays income limits for households sizes up to eight persons. However, the TIV allows for household sizes up to ten." sqref="G27:G226">
      <formula1>$Z$27:$Z$38</formula1>
    </dataValidation>
    <dataValidation type="list" allowBlank="1" showInputMessage="1" showErrorMessage="1" sqref="F27:F226">
      <formula1>$Y$28:$Y$35</formula1>
    </dataValidation>
    <dataValidation type="list" allowBlank="1" showInputMessage="1" showErrorMessage="1" error="Select &quot;Yes&quot; or &quot;No&quot; from the dropdown." prompt="Select &quot;Yes&quot; or &quot;No&quot; from the dropdown." sqref="Q27:S184">
      <formula1>$W$27:$W$29</formula1>
    </dataValidation>
  </dataValidations>
  <hyperlinks>
    <hyperlink ref="E9" location="'A(2)-Uses Statement'!H12" display="'A(2)-Uses Statement'!H12"/>
    <hyperlink ref="M9" location="'Validation Warnings'!M9" display="'Validation Warnings'!M9"/>
    <hyperlink ref="H9" location="'C(2)-Commercial ProForma'!K16" display="'C(2)-Commercial ProForma'!K16"/>
    <hyperlink ref="F9" location="'B-Rent Schedule'!D13" display="'B-Rent Schedule'!D13"/>
    <hyperlink ref="D9" location="'A(1)-Sources Stmt.'!D19" display="'A(1)-Sources Stmt.'!D19"/>
    <hyperlink ref="J9" location="'E(2)-Sources &amp; Uses Analysis'!G19" display="Sources &amp; Uses Analysis"/>
    <hyperlink ref="I9" location="'E-Feasibility Analysis'!M22" display="Feasibility Analysis"/>
    <hyperlink ref="B9:C9" location="'Project Info and Instructions'!F16" display="Project Info. &amp; Instructions"/>
    <hyperlink ref="G9" location="'C(1)-Rental Operating ProForma'!A1" display="'C(1)-Rental Operating ProForma'!A1"/>
  </hyperlinks>
  <pageMargins left="0.25" right="0.25" top="1" bottom="1" header="0.5" footer="0.5"/>
  <pageSetup scale="63" fitToHeight="5" orientation="landscape" r:id="rId1"/>
  <headerFooter alignWithMargins="0"/>
  <rowBreaks count="2" manualBreakCount="2">
    <brk id="66" max="19" man="1"/>
    <brk id="173" max="16" man="1"/>
  </rowBreaks>
  <drawing r:id="rId2"/>
  <extLst>
    <ext xmlns:x14="http://schemas.microsoft.com/office/spreadsheetml/2009/9/main" uri="{78C0D931-6437-407d-A8EE-F0AAD7539E65}">
      <x14:conditionalFormattings>
        <x14:conditionalFormatting xmlns:xm="http://schemas.microsoft.com/office/excel/2006/main">
          <x14:cfRule type="expression" priority="16" id="{EB74F925-2E87-47E9-B3A8-5908772039FF}">
            <xm:f>'Project Info and Instructions'!$F$22="No"</xm:f>
            <x14:dxf>
              <font>
                <strike/>
                <color theme="0" tint="-0.34998626667073579"/>
              </font>
              <fill>
                <patternFill>
                  <bgColor theme="0" tint="-0.14996795556505021"/>
                </patternFill>
              </fill>
            </x14:dxf>
          </x14:cfRule>
          <x14:cfRule type="expression" priority="17" id="{36234B06-1313-4FFE-BFEC-BA8EB7930E69}">
            <xm:f>'Project Info and Instructions'!$F$20="Owner-occupied"</xm:f>
            <x14:dxf>
              <font>
                <strike/>
                <color theme="0" tint="-0.34998626667073579"/>
              </font>
              <fill>
                <patternFill>
                  <bgColor theme="0" tint="-0.14996795556505021"/>
                </patternFill>
              </fill>
            </x14:dxf>
          </x14:cfRule>
          <xm:sqref>H9</xm:sqref>
        </x14:conditionalFormatting>
        <x14:conditionalFormatting xmlns:xm="http://schemas.microsoft.com/office/excel/2006/main">
          <x14:cfRule type="expression" priority="27" id="{C8DE2901-CD35-403C-9E27-D955430DF163}">
            <xm:f>'Project Info and Instructions'!$V$50&gt;6</xm:f>
            <x14:dxf>
              <font>
                <strike/>
                <color theme="0" tint="-0.34998626667073579"/>
              </font>
              <fill>
                <gradientFill degree="90">
                  <stop position="0">
                    <color theme="0" tint="-0.1490218817712943"/>
                  </stop>
                  <stop position="1">
                    <color theme="0" tint="-0.1490218817712943"/>
                  </stop>
                </gradientFill>
              </fill>
            </x14:dxf>
          </x14:cfRule>
          <xm:sqref>F9</xm:sqref>
        </x14:conditionalFormatting>
        <x14:conditionalFormatting xmlns:xm="http://schemas.microsoft.com/office/excel/2006/main">
          <x14:cfRule type="expression" priority="1" id="{C56BDB74-45EB-4A95-80C4-A919215AC208}">
            <xm:f>'Project Info and Instructions'!$V$50&gt;6</xm:f>
            <x14:dxf>
              <font>
                <strike/>
                <color theme="0" tint="-0.34998626667073579"/>
              </font>
              <fill>
                <gradientFill degree="90">
                  <stop position="0">
                    <color theme="0" tint="-0.1490218817712943"/>
                  </stop>
                  <stop position="1">
                    <color theme="0" tint="-0.1490218817712943"/>
                  </stop>
                </gradientFill>
              </fill>
            </x14:dxf>
          </x14:cfRule>
          <xm:sqref>G9</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AW269"/>
  <sheetViews>
    <sheetView showGridLines="0" zoomScaleNormal="100" zoomScaleSheetLayoutView="86" workbookViewId="0">
      <selection activeCell="K21" sqref="K21:N21"/>
    </sheetView>
  </sheetViews>
  <sheetFormatPr defaultRowHeight="12.75"/>
  <cols>
    <col min="1" max="1" width="2.42578125" style="1426" customWidth="1"/>
    <col min="2" max="2" width="8.7109375" style="1426" hidden="1" customWidth="1"/>
    <col min="3" max="3" width="30.42578125" style="1426" customWidth="1"/>
    <col min="4" max="4" width="10.42578125" style="1426" customWidth="1"/>
    <col min="5" max="5" width="9.5703125" style="1426" customWidth="1"/>
    <col min="6" max="6" width="10.42578125" style="1426" customWidth="1"/>
    <col min="7" max="8" width="11.5703125" style="1426" customWidth="1"/>
    <col min="9" max="9" width="12.42578125" style="1426" customWidth="1"/>
    <col min="10" max="10" width="10.42578125" style="1426" customWidth="1"/>
    <col min="11" max="11" width="11.42578125" style="1426" customWidth="1"/>
    <col min="12" max="12" width="12.42578125" style="1426" customWidth="1"/>
    <col min="13" max="13" width="11.42578125" style="1426" customWidth="1"/>
    <col min="14" max="14" width="10.5703125" style="1426" customWidth="1"/>
    <col min="15" max="15" width="8.5703125" style="1426" customWidth="1"/>
    <col min="16" max="16" width="11.140625" style="1426" customWidth="1"/>
    <col min="17" max="19" width="10.5703125" style="1426" customWidth="1"/>
    <col min="20" max="22" width="10.42578125" style="1426" customWidth="1"/>
    <col min="23" max="23" width="13.42578125" style="1426" customWidth="1"/>
    <col min="24" max="24" width="11.42578125" style="1426" customWidth="1"/>
    <col min="25" max="25" width="11" style="1426" customWidth="1"/>
    <col min="26" max="29" width="10.42578125" style="1426" customWidth="1"/>
    <col min="30" max="31" width="9.5703125" style="1426" customWidth="1"/>
    <col min="32" max="32" width="11.140625" style="1426" customWidth="1"/>
    <col min="33" max="34" width="9.5703125" style="1426" hidden="1" customWidth="1"/>
    <col min="35" max="41" width="11.42578125" style="1426" hidden="1" customWidth="1"/>
    <col min="42" max="42" width="32.42578125" style="1426" hidden="1" customWidth="1"/>
    <col min="43" max="43" width="15" style="1426" hidden="1" customWidth="1"/>
    <col min="44" max="44" width="17.5703125" style="1426" hidden="1" customWidth="1"/>
    <col min="45" max="45" width="21" style="1426" hidden="1" customWidth="1"/>
    <col min="46" max="47" width="17.5703125" style="1426" hidden="1" customWidth="1"/>
    <col min="48" max="48" width="19.42578125" style="1426" hidden="1" customWidth="1"/>
    <col min="49" max="49" width="17.5703125" style="1426" hidden="1" customWidth="1"/>
    <col min="50" max="16384" width="9.140625" style="1426"/>
  </cols>
  <sheetData>
    <row r="1" spans="3:49" ht="6" customHeight="1"/>
    <row r="2" spans="3:49" ht="21.75" customHeight="1">
      <c r="D2" s="2507" t="s">
        <v>1266</v>
      </c>
      <c r="E2" s="2508"/>
      <c r="F2" s="2508"/>
      <c r="G2" s="2508"/>
      <c r="H2" s="2508"/>
      <c r="I2" s="2508"/>
      <c r="J2" s="2509"/>
      <c r="K2" s="1520"/>
      <c r="AO2" s="1520"/>
      <c r="AP2" s="1453"/>
      <c r="AQ2" s="1453"/>
      <c r="AR2" s="1453"/>
      <c r="AS2" s="1453"/>
      <c r="AT2" s="1453"/>
      <c r="AU2" s="1453"/>
      <c r="AV2" s="1453"/>
      <c r="AW2" s="1453"/>
    </row>
    <row r="3" spans="3:49" ht="6" customHeight="1">
      <c r="D3" s="1561"/>
      <c r="E3" s="1561"/>
      <c r="F3" s="1561"/>
      <c r="G3" s="1561"/>
      <c r="H3" s="1561"/>
      <c r="I3" s="1561"/>
      <c r="J3" s="1561"/>
      <c r="K3" s="1520"/>
      <c r="AO3" s="1520"/>
      <c r="AP3" s="1453"/>
      <c r="AQ3" s="1453"/>
      <c r="AR3" s="1453"/>
      <c r="AS3" s="1453"/>
      <c r="AT3" s="1453"/>
      <c r="AU3" s="1453"/>
      <c r="AV3" s="1453"/>
      <c r="AW3" s="1453"/>
    </row>
    <row r="4" spans="3:49" ht="12" customHeight="1">
      <c r="D4" s="1561"/>
      <c r="E4" s="1561"/>
      <c r="F4" s="1561"/>
      <c r="G4" s="2510" t="s">
        <v>1193</v>
      </c>
      <c r="H4" s="2510"/>
      <c r="I4" s="2511" t="str">
        <f>IF('F-TIV'!$D$12&lt;&gt;"",'F-TIV'!$D$12,"")</f>
        <v/>
      </c>
      <c r="J4" s="2511"/>
      <c r="K4" s="2511"/>
      <c r="L4" s="2511"/>
      <c r="AO4" s="1520"/>
      <c r="AP4" s="1453"/>
      <c r="AQ4" s="1453"/>
      <c r="AR4" s="1453"/>
      <c r="AS4" s="1453"/>
      <c r="AT4" s="1453"/>
      <c r="AU4" s="1453"/>
      <c r="AV4" s="1453"/>
      <c r="AW4" s="1453"/>
    </row>
    <row r="5" spans="3:49" s="1305" customFormat="1" ht="3" customHeight="1">
      <c r="D5" s="1426"/>
      <c r="E5" s="1560"/>
      <c r="F5" s="1520"/>
      <c r="G5" s="1559"/>
      <c r="H5" s="1559"/>
      <c r="I5" s="1558"/>
      <c r="J5" s="1558"/>
      <c r="K5" s="1557"/>
      <c r="L5" s="1447"/>
      <c r="M5" s="1447"/>
      <c r="N5" s="1426"/>
      <c r="O5" s="1426"/>
      <c r="P5" s="1426"/>
      <c r="Q5" s="1426"/>
      <c r="R5" s="1426"/>
      <c r="S5" s="1426"/>
      <c r="T5" s="1426"/>
      <c r="U5" s="1426"/>
      <c r="V5" s="1426"/>
      <c r="W5" s="1426"/>
      <c r="X5" s="1426"/>
      <c r="Y5" s="1426"/>
      <c r="Z5" s="1426"/>
      <c r="AA5" s="1426"/>
      <c r="AB5" s="1426"/>
      <c r="AC5" s="1426"/>
      <c r="AD5" s="1426"/>
      <c r="AE5" s="1426"/>
      <c r="AF5" s="1426"/>
      <c r="AO5" s="1525"/>
      <c r="AP5" s="1453"/>
      <c r="AQ5" s="1453"/>
      <c r="AR5" s="1453"/>
      <c r="AS5" s="1453"/>
      <c r="AT5" s="1453"/>
      <c r="AU5" s="1453"/>
      <c r="AV5" s="1453"/>
      <c r="AW5" s="1453"/>
    </row>
    <row r="6" spans="3:49" s="1525" customFormat="1" ht="12.75" customHeight="1">
      <c r="D6" s="1426"/>
      <c r="E6" s="1556"/>
      <c r="F6" s="1556"/>
      <c r="G6" s="2510" t="s">
        <v>1265</v>
      </c>
      <c r="H6" s="2510"/>
      <c r="I6" s="2511" t="str">
        <f>IF('F-TIV'!$D$13&lt;&gt;"",'F-TIV'!$D$13,"")</f>
        <v/>
      </c>
      <c r="J6" s="2511"/>
      <c r="K6" s="2511"/>
      <c r="L6" s="2511"/>
      <c r="M6" s="1426"/>
      <c r="N6" s="1426"/>
      <c r="O6" s="1426"/>
      <c r="P6" s="1426"/>
      <c r="Q6" s="1426"/>
      <c r="R6" s="1426"/>
      <c r="S6" s="1426"/>
      <c r="T6" s="1426"/>
      <c r="U6" s="1426"/>
      <c r="V6" s="1426"/>
      <c r="W6" s="1426"/>
      <c r="X6" s="1426"/>
      <c r="Y6" s="1426"/>
      <c r="Z6" s="1426"/>
      <c r="AA6" s="1426"/>
      <c r="AB6" s="1426"/>
      <c r="AC6" s="1426"/>
      <c r="AD6" s="1426"/>
      <c r="AE6" s="1426"/>
      <c r="AF6" s="1426"/>
      <c r="AP6" s="1453"/>
      <c r="AQ6" s="1453"/>
      <c r="AR6" s="1453"/>
      <c r="AS6" s="1453"/>
      <c r="AT6" s="1453"/>
      <c r="AU6" s="1453"/>
      <c r="AV6" s="1453"/>
      <c r="AW6" s="1453"/>
    </row>
    <row r="7" spans="3:49" s="1525" customFormat="1" ht="6" customHeight="1">
      <c r="D7" s="1305"/>
      <c r="E7" s="1305"/>
      <c r="F7" s="1305"/>
      <c r="G7" s="1305"/>
      <c r="H7" s="1305"/>
      <c r="I7" s="1305"/>
      <c r="J7" s="1305"/>
      <c r="K7" s="1305"/>
      <c r="L7" s="1305"/>
      <c r="M7" s="1305"/>
      <c r="N7" s="1305"/>
      <c r="O7" s="1305"/>
      <c r="P7" s="1305"/>
      <c r="Q7" s="1305"/>
      <c r="R7" s="1305"/>
      <c r="S7" s="1305"/>
      <c r="T7" s="1305"/>
      <c r="U7" s="1305"/>
      <c r="V7" s="1305"/>
      <c r="W7" s="1305"/>
      <c r="X7" s="1305"/>
      <c r="Y7" s="1305"/>
      <c r="Z7" s="1305"/>
      <c r="AA7" s="1305"/>
      <c r="AB7" s="1305"/>
      <c r="AC7" s="1305"/>
      <c r="AN7" s="1453"/>
      <c r="AP7" s="1453"/>
      <c r="AQ7" s="1453"/>
      <c r="AR7" s="1453"/>
      <c r="AS7" s="1453"/>
      <c r="AT7" s="1453"/>
      <c r="AU7" s="1453"/>
    </row>
    <row r="8" spans="3:49" s="1525" customFormat="1">
      <c r="E8" s="1526"/>
      <c r="F8" s="1555"/>
      <c r="G8" s="1555"/>
      <c r="H8" s="2512" t="s">
        <v>1264</v>
      </c>
      <c r="I8" s="2512"/>
      <c r="J8" s="2512"/>
      <c r="K8" s="2512"/>
      <c r="L8" s="1554"/>
      <c r="M8" s="1554"/>
      <c r="N8" s="1526"/>
      <c r="O8" s="1526"/>
      <c r="AN8" s="1453"/>
      <c r="AP8" s="1453"/>
      <c r="AQ8" s="1453"/>
      <c r="AR8" s="1453"/>
      <c r="AS8" s="1453"/>
      <c r="AT8" s="1453"/>
      <c r="AU8" s="1453"/>
    </row>
    <row r="9" spans="3:49" s="1525" customFormat="1">
      <c r="D9" s="2513" t="s">
        <v>61</v>
      </c>
      <c r="E9" s="2513"/>
      <c r="F9" s="1597" t="s">
        <v>1263</v>
      </c>
      <c r="G9" s="1598" t="s">
        <v>1262</v>
      </c>
      <c r="H9" s="1598" t="s">
        <v>1261</v>
      </c>
      <c r="I9" s="1598" t="s">
        <v>1260</v>
      </c>
      <c r="J9" s="1598" t="s">
        <v>1259</v>
      </c>
      <c r="K9" s="1598" t="s">
        <v>1258</v>
      </c>
      <c r="L9" s="1598" t="s">
        <v>1257</v>
      </c>
      <c r="M9" s="1599" t="s">
        <v>1256</v>
      </c>
      <c r="N9" s="1553"/>
      <c r="O9" s="1526"/>
      <c r="P9" s="1552"/>
      <c r="Q9" s="1552"/>
      <c r="R9" s="1552"/>
      <c r="S9" s="1552"/>
      <c r="AN9" s="1453"/>
      <c r="AP9" s="1453"/>
      <c r="AQ9" s="1453"/>
      <c r="AR9" s="1453"/>
      <c r="AS9" s="1453"/>
      <c r="AT9" s="1453"/>
      <c r="AU9" s="1453"/>
    </row>
    <row r="10" spans="3:49" s="1525" customFormat="1" ht="12.75" customHeight="1">
      <c r="D10" s="2513" t="s">
        <v>1255</v>
      </c>
      <c r="E10" s="2513"/>
      <c r="F10" s="1551" t="str">
        <f>'F-TIV'!E17</f>
        <v/>
      </c>
      <c r="G10" s="1550" t="str">
        <f>'F-TIV'!E18</f>
        <v/>
      </c>
      <c r="H10" s="1550" t="str">
        <f>'F-TIV'!E19</f>
        <v/>
      </c>
      <c r="I10" s="1550" t="str">
        <f>'F-TIV'!E20</f>
        <v/>
      </c>
      <c r="J10" s="1550" t="str">
        <f>'F-TIV'!E21</f>
        <v/>
      </c>
      <c r="K10" s="1550" t="str">
        <f>'F-TIV'!E22</f>
        <v/>
      </c>
      <c r="L10" s="1550" t="str">
        <f>'F-TIV'!E23</f>
        <v/>
      </c>
      <c r="M10" s="1549" t="str">
        <f>'F-TIV'!E24</f>
        <v/>
      </c>
      <c r="N10" s="2455"/>
      <c r="O10" s="2455"/>
      <c r="P10" s="2455"/>
      <c r="Q10" s="2455"/>
      <c r="R10" s="2455"/>
      <c r="S10" s="2455"/>
      <c r="AN10" s="1453"/>
      <c r="AP10" s="1453"/>
      <c r="AQ10" s="1453"/>
      <c r="AR10" s="1453"/>
      <c r="AS10" s="1453"/>
      <c r="AT10" s="1453"/>
      <c r="AU10" s="1453"/>
    </row>
    <row r="11" spans="3:49" s="1525" customFormat="1">
      <c r="E11" s="1526"/>
      <c r="F11" s="1528"/>
      <c r="G11" s="1528"/>
      <c r="H11" s="1528"/>
      <c r="I11" s="1529"/>
      <c r="J11" s="1528"/>
      <c r="K11" s="1528"/>
      <c r="L11" s="1528"/>
      <c r="M11" s="1528"/>
      <c r="N11" s="1528"/>
      <c r="O11" s="1547"/>
      <c r="P11" s="1546"/>
      <c r="Q11" s="1546"/>
      <c r="R11" s="1546"/>
      <c r="S11" s="1546"/>
      <c r="AJ11" s="1548" t="s">
        <v>1205</v>
      </c>
      <c r="AL11" s="1548" t="s">
        <v>1205</v>
      </c>
      <c r="AN11" s="1548" t="s">
        <v>1205</v>
      </c>
      <c r="AP11" s="1453"/>
      <c r="AQ11" s="1453"/>
      <c r="AR11" s="1453"/>
      <c r="AS11" s="1453"/>
      <c r="AT11" s="1453"/>
      <c r="AU11" s="1453"/>
    </row>
    <row r="12" spans="3:49" s="1525" customFormat="1">
      <c r="E12" s="1526"/>
      <c r="F12" s="1593" t="s">
        <v>122</v>
      </c>
      <c r="G12" s="1594">
        <v>1</v>
      </c>
      <c r="H12" s="1594">
        <v>2</v>
      </c>
      <c r="I12" s="1595" t="s">
        <v>1254</v>
      </c>
      <c r="J12" s="1594">
        <v>3</v>
      </c>
      <c r="K12" s="1594">
        <v>4</v>
      </c>
      <c r="L12" s="1594">
        <v>5</v>
      </c>
      <c r="M12" s="1596">
        <v>6</v>
      </c>
      <c r="N12" s="1547"/>
      <c r="O12" s="1526"/>
      <c r="P12" s="1546"/>
      <c r="Q12" s="1546"/>
      <c r="R12" s="1546"/>
      <c r="S12" s="1546"/>
      <c r="T12" s="1546"/>
      <c r="U12" s="1546"/>
      <c r="V12" s="1546"/>
      <c r="W12" s="1546"/>
      <c r="AJ12" s="1525">
        <f>IF(C14&gt;0,1,0)</f>
        <v>0</v>
      </c>
      <c r="AK12" s="1545"/>
      <c r="AL12" s="1544" t="s">
        <v>1245</v>
      </c>
      <c r="AM12" s="1525" t="s">
        <v>114</v>
      </c>
      <c r="AN12" s="1544" t="s">
        <v>1253</v>
      </c>
      <c r="AP12" s="1453"/>
      <c r="AR12" s="1453"/>
      <c r="AS12" s="1453"/>
      <c r="AT12" s="1453"/>
      <c r="AU12" s="1453"/>
      <c r="AV12" s="1453"/>
      <c r="AW12" s="1453"/>
    </row>
    <row r="13" spans="3:49" s="1525" customFormat="1">
      <c r="C13" s="1543"/>
      <c r="D13" s="1543"/>
      <c r="E13" s="1539" t="s">
        <v>1252</v>
      </c>
      <c r="F13" s="1535" t="str">
        <f>IFERROR(ROUND(I13*0.7,0),"")</f>
        <v/>
      </c>
      <c r="G13" s="1534" t="str">
        <f>IFERROR(ROUND(I13*0.75,0),"")</f>
        <v/>
      </c>
      <c r="H13" s="1533" t="str">
        <f>IFERROR(ROUND(I13*0.9,0),"")</f>
        <v/>
      </c>
      <c r="I13" s="1534" t="str">
        <f>IFERROR(_PER4*0.3*0.3/12,"")</f>
        <v/>
      </c>
      <c r="J13" s="1535" t="str">
        <f>IFERROR(ROUND(I13*1.04,0),"")</f>
        <v/>
      </c>
      <c r="K13" s="1534" t="str">
        <f>IFERROR(ROUND(I13*1.16,0),"")</f>
        <v/>
      </c>
      <c r="L13" s="1534" t="str">
        <f>IFERROR(ROUND(I13*1.28,0),"")</f>
        <v/>
      </c>
      <c r="M13" s="1533" t="str">
        <f>IFERROR(ROUND(I13*1.4,0),"")</f>
        <v/>
      </c>
      <c r="N13" s="1542"/>
      <c r="O13" s="1541"/>
      <c r="P13" s="1541"/>
      <c r="Q13" s="1541"/>
      <c r="R13" s="1541"/>
      <c r="S13" s="1541"/>
      <c r="T13" s="1541"/>
      <c r="U13" s="1541"/>
      <c r="V13" s="1541"/>
      <c r="W13" s="1541"/>
      <c r="AJ13" s="1525">
        <f>IF(D15&gt;0,1,0)</f>
        <v>0</v>
      </c>
      <c r="AL13" s="1525" t="s">
        <v>1243</v>
      </c>
      <c r="AM13" s="1525" t="s">
        <v>115</v>
      </c>
      <c r="AN13" s="1525" t="s">
        <v>1251</v>
      </c>
      <c r="AP13" s="1453"/>
      <c r="AR13" s="1453"/>
      <c r="AS13" s="1453"/>
      <c r="AT13" s="1453"/>
      <c r="AU13" s="1453"/>
      <c r="AV13" s="1453"/>
      <c r="AW13" s="1453"/>
    </row>
    <row r="14" spans="3:49" s="1525" customFormat="1">
      <c r="C14" s="2505"/>
      <c r="D14" s="2506"/>
      <c r="E14" s="1539" t="s">
        <v>1250</v>
      </c>
      <c r="F14" s="1535" t="str">
        <f>IFERROR(ROUND(I14*0.7,0),"")</f>
        <v/>
      </c>
      <c r="G14" s="1534" t="str">
        <f>IFERROR(ROUND(I14*0.75,0),"")</f>
        <v/>
      </c>
      <c r="H14" s="1533" t="str">
        <f>IFERROR(ROUND(I14*0.9,0),"")</f>
        <v/>
      </c>
      <c r="I14" s="1540" t="str">
        <f>IFERROR(_PER4*0.5*0.3/12,"")</f>
        <v/>
      </c>
      <c r="J14" s="1535" t="str">
        <f>IFERROR(ROUND(I14*1.04,0),"")</f>
        <v/>
      </c>
      <c r="K14" s="1534" t="str">
        <f>IFERROR(ROUND(I14*1.16,0),"")</f>
        <v/>
      </c>
      <c r="L14" s="1534" t="str">
        <f>IFERROR(ROUND(I14*1.28,0),"")</f>
        <v/>
      </c>
      <c r="M14" s="1533" t="str">
        <f>IFERROR(ROUND(I14*1.4,0),"")</f>
        <v/>
      </c>
      <c r="N14" s="1532"/>
      <c r="O14" s="1532"/>
      <c r="P14" s="1532"/>
      <c r="Q14" s="1532"/>
      <c r="R14" s="1532"/>
      <c r="S14" s="1532"/>
      <c r="T14" s="1532"/>
      <c r="U14" s="1532"/>
      <c r="V14" s="1532"/>
      <c r="W14" s="1532"/>
      <c r="AJ14" s="1525">
        <f>IF(D16&gt;0,1,0)</f>
        <v>0</v>
      </c>
      <c r="AP14" s="1453"/>
      <c r="AR14" s="1453"/>
      <c r="AS14" s="1453"/>
      <c r="AT14" s="1453"/>
      <c r="AU14" s="1453"/>
      <c r="AV14" s="1453"/>
      <c r="AW14" s="1453"/>
    </row>
    <row r="15" spans="3:49">
      <c r="C15" s="2505"/>
      <c r="D15" s="2506"/>
      <c r="E15" s="1539" t="s">
        <v>1249</v>
      </c>
      <c r="F15" s="1535" t="str">
        <f>IFERROR(ROUND(I15*0.7,0),"")</f>
        <v/>
      </c>
      <c r="G15" s="1534" t="str">
        <f>IFERROR(ROUND(I15*0.75,0),"")</f>
        <v/>
      </c>
      <c r="H15" s="1533" t="str">
        <f>IFERROR(ROUND(I15*0.9,0),"")</f>
        <v/>
      </c>
      <c r="I15" s="1534" t="str">
        <f>IFERROR(_PER4*0.6*0.3/12,"")</f>
        <v/>
      </c>
      <c r="J15" s="1535" t="str">
        <f>IFERROR(ROUND(I15*1.04,0),"")</f>
        <v/>
      </c>
      <c r="K15" s="1534" t="str">
        <f>IFERROR(ROUND(I15*1.16,0),"")</f>
        <v/>
      </c>
      <c r="L15" s="1534" t="str">
        <f>IFERROR(ROUND(I15*1.28,0),"")</f>
        <v/>
      </c>
      <c r="M15" s="1533" t="str">
        <f>IFERROR(ROUND(I15*1.4,0),"")</f>
        <v/>
      </c>
      <c r="N15" s="1532"/>
      <c r="O15" s="1532"/>
      <c r="P15" s="1532"/>
      <c r="Q15" s="1532"/>
      <c r="R15" s="1532"/>
      <c r="S15" s="1532"/>
      <c r="T15" s="1532"/>
      <c r="U15" s="1532"/>
      <c r="V15" s="1532"/>
      <c r="W15" s="1532"/>
      <c r="X15" s="1525"/>
      <c r="Y15" s="1525"/>
      <c r="Z15" s="1525"/>
      <c r="AA15" s="1525"/>
      <c r="AB15" s="1525"/>
      <c r="AC15" s="1525"/>
      <c r="AD15" s="1525"/>
      <c r="AE15" s="1525"/>
      <c r="AF15" s="1525"/>
      <c r="AP15" s="1453"/>
      <c r="AR15" s="1453"/>
      <c r="AS15" s="1453"/>
      <c r="AT15" s="1453"/>
      <c r="AU15" s="1453"/>
      <c r="AV15" s="1453"/>
      <c r="AW15" s="1453"/>
    </row>
    <row r="16" spans="3:49">
      <c r="C16" s="2505"/>
      <c r="D16" s="2506"/>
      <c r="E16" s="1539" t="s">
        <v>1248</v>
      </c>
      <c r="F16" s="1535" t="str">
        <f>IFERROR(ROUND(I16*0.7,0),"")</f>
        <v/>
      </c>
      <c r="G16" s="1534" t="str">
        <f>IFERROR(ROUND(I16*0.75,0),"")</f>
        <v/>
      </c>
      <c r="H16" s="1533" t="str">
        <f>IFERROR(ROUND(I16*0.9,0),"")</f>
        <v/>
      </c>
      <c r="I16" s="1536" t="str">
        <f>IFERROR(_PER4*0.7*0.3/12,"")</f>
        <v/>
      </c>
      <c r="J16" s="1535" t="str">
        <f>IFERROR(ROUND(I16*1.04,0),"")</f>
        <v/>
      </c>
      <c r="K16" s="1534" t="str">
        <f>IFERROR(ROUND(I16*1.16,0),"")</f>
        <v/>
      </c>
      <c r="L16" s="1534" t="str">
        <f>IFERROR(ROUND(I16*1.28,0),"")</f>
        <v/>
      </c>
      <c r="M16" s="1533" t="str">
        <f>IFERROR(ROUND(I16*1.4,0),"")</f>
        <v/>
      </c>
      <c r="N16" s="1532"/>
      <c r="O16" s="1532"/>
      <c r="P16" s="1532"/>
      <c r="Q16" s="1532"/>
      <c r="R16" s="1532"/>
      <c r="S16" s="1532"/>
      <c r="T16" s="1532"/>
      <c r="U16" s="1532"/>
      <c r="V16" s="1532"/>
      <c r="W16" s="1532"/>
      <c r="X16" s="1525"/>
      <c r="Y16" s="1525"/>
      <c r="Z16" s="1525"/>
      <c r="AA16" s="1525"/>
      <c r="AB16" s="1525"/>
      <c r="AC16" s="1525"/>
      <c r="AD16" s="1525"/>
      <c r="AE16" s="1525"/>
      <c r="AF16" s="1525"/>
      <c r="AP16" s="1453"/>
      <c r="AR16" s="1453"/>
      <c r="AS16" s="1453"/>
      <c r="AT16" s="1453"/>
      <c r="AU16" s="1453"/>
      <c r="AV16" s="1453"/>
      <c r="AW16" s="1453"/>
    </row>
    <row r="17" spans="2:49">
      <c r="C17" s="1538"/>
      <c r="D17" s="1538"/>
      <c r="E17" s="1537" t="s">
        <v>1247</v>
      </c>
      <c r="F17" s="1535" t="str">
        <f>IFERROR(ROUND(I17*0.7,0),"")</f>
        <v/>
      </c>
      <c r="G17" s="1534" t="str">
        <f>IFERROR(ROUND(I17*0.75,0),"")</f>
        <v/>
      </c>
      <c r="H17" s="1533" t="str">
        <f>IFERROR(ROUND(I17*0.9,0),"")</f>
        <v/>
      </c>
      <c r="I17" s="1536" t="str">
        <f>IFERROR(IF(_PER4&gt;0,(IF(((_PER4*0.8*0.3/12)&lt;(63900*0.3/12)),(_PER4*0.8*0.3/12),(63900*0.3/12))),0),"")</f>
        <v/>
      </c>
      <c r="J17" s="1535" t="str">
        <f>IFERROR(ROUND(I17*1.04,0),"")</f>
        <v/>
      </c>
      <c r="K17" s="1534" t="str">
        <f>IFERROR(ROUND(I17*1.16,0),"")</f>
        <v/>
      </c>
      <c r="L17" s="1534" t="str">
        <f>IFERROR(ROUND(I17*1.28,0),"")</f>
        <v/>
      </c>
      <c r="M17" s="1533" t="str">
        <f>IFERROR(ROUND(I17*1.4,0),"")</f>
        <v/>
      </c>
      <c r="N17" s="2456" t="s">
        <v>1246</v>
      </c>
      <c r="O17" s="2456"/>
      <c r="P17" s="2456"/>
      <c r="Q17" s="2456"/>
      <c r="R17" s="2456"/>
      <c r="S17" s="2456"/>
      <c r="T17" s="2456"/>
      <c r="U17" s="2456"/>
      <c r="V17" s="2456"/>
      <c r="W17" s="1532"/>
      <c r="X17" s="1525"/>
      <c r="Y17" s="1525"/>
      <c r="Z17" s="1525"/>
      <c r="AA17" s="1525"/>
      <c r="AB17" s="1525"/>
      <c r="AC17" s="1525"/>
      <c r="AD17" s="1525"/>
      <c r="AE17" s="1525"/>
      <c r="AF17" s="1525"/>
      <c r="AO17" s="1531" t="s">
        <v>1205</v>
      </c>
      <c r="AP17" s="1453"/>
      <c r="AR17" s="1453"/>
      <c r="AS17" s="1453"/>
      <c r="AT17" s="1453"/>
      <c r="AU17" s="1453"/>
      <c r="AV17" s="1453"/>
      <c r="AW17" s="1453"/>
    </row>
    <row r="18" spans="2:49" ht="15" customHeight="1">
      <c r="D18" s="1525"/>
      <c r="E18" s="1530"/>
      <c r="F18" s="1528"/>
      <c r="G18" s="1528"/>
      <c r="H18" s="1528"/>
      <c r="I18" s="1529"/>
      <c r="J18" s="1528"/>
      <c r="K18" s="1528"/>
      <c r="L18" s="1528"/>
      <c r="M18" s="1528"/>
      <c r="N18" s="1527"/>
      <c r="O18" s="1526"/>
      <c r="P18" s="1525"/>
      <c r="Q18" s="1525"/>
      <c r="R18" s="1525"/>
      <c r="S18" s="1525"/>
      <c r="T18" s="1525"/>
      <c r="U18" s="1525"/>
      <c r="V18" s="1525"/>
      <c r="W18" s="1525"/>
      <c r="X18" s="1525"/>
      <c r="Y18" s="1525"/>
      <c r="Z18" s="1525"/>
      <c r="AA18" s="1525"/>
      <c r="AB18" s="1525"/>
      <c r="AC18" s="1525"/>
      <c r="AD18" s="1525"/>
      <c r="AE18" s="1525"/>
      <c r="AF18" s="1525"/>
      <c r="AO18" s="1426" t="s">
        <v>1245</v>
      </c>
      <c r="AP18" s="1453"/>
      <c r="AR18" s="1453"/>
      <c r="AS18" s="1453"/>
      <c r="AT18" s="1453"/>
      <c r="AU18" s="1453"/>
      <c r="AV18" s="1453"/>
      <c r="AW18" s="1453"/>
    </row>
    <row r="19" spans="2:49">
      <c r="I19" s="2504" t="s">
        <v>1244</v>
      </c>
      <c r="J19" s="2504"/>
      <c r="K19" s="2504"/>
      <c r="L19" s="2504"/>
      <c r="M19" s="1441"/>
      <c r="N19" s="1441"/>
      <c r="AO19" s="1524" t="s">
        <v>1243</v>
      </c>
      <c r="AP19" s="1453"/>
      <c r="AR19" s="1453"/>
      <c r="AS19" s="1453"/>
      <c r="AT19" s="1453"/>
      <c r="AU19" s="1453"/>
      <c r="AV19" s="1453"/>
      <c r="AW19" s="1453"/>
    </row>
    <row r="20" spans="2:49">
      <c r="I20" s="1520"/>
      <c r="J20" s="1521" t="s">
        <v>1242</v>
      </c>
      <c r="K20" s="2466" t="str">
        <f>IF('Project Info and Instructions'!F16&lt;&gt;"",'Project Info and Instructions'!F16,"")</f>
        <v/>
      </c>
      <c r="L20" s="2466"/>
      <c r="M20" s="2466"/>
      <c r="N20" s="2466"/>
      <c r="P20" s="1523"/>
      <c r="Q20" s="1523"/>
      <c r="R20" s="1523"/>
      <c r="AO20" s="1442"/>
      <c r="AP20" s="1453"/>
      <c r="AR20" s="1453"/>
      <c r="AS20" s="1453"/>
      <c r="AT20" s="1453"/>
      <c r="AU20" s="1453"/>
      <c r="AV20" s="1453"/>
      <c r="AW20" s="1453"/>
    </row>
    <row r="21" spans="2:49" ht="12.75" customHeight="1">
      <c r="I21" s="1520"/>
      <c r="J21" s="1522" t="s">
        <v>1241</v>
      </c>
      <c r="K21" s="2503" t="str">
        <f>IF('Project Info and Instructions'!F18&lt;&gt;"",'Project Info and Instructions'!F18,"")</f>
        <v/>
      </c>
      <c r="L21" s="2503"/>
      <c r="M21" s="2503"/>
      <c r="N21" s="2503"/>
      <c r="AO21" s="1442"/>
      <c r="AP21" s="1453"/>
      <c r="AR21" s="1453"/>
      <c r="AS21" s="1453"/>
      <c r="AT21" s="1453"/>
      <c r="AU21" s="1453"/>
      <c r="AV21" s="1453"/>
      <c r="AW21" s="1453"/>
    </row>
    <row r="22" spans="2:49">
      <c r="I22" s="1520"/>
      <c r="J22" s="1521" t="s">
        <v>1240</v>
      </c>
      <c r="K22" s="2459" t="str">
        <f>IF('F-TIV'!$O$21&lt;&gt;"",'F-TIV'!$O$21,"")</f>
        <v/>
      </c>
      <c r="L22" s="2459"/>
      <c r="M22" s="2459"/>
      <c r="N22" s="2459"/>
      <c r="AO22" s="1305" t="s">
        <v>1218</v>
      </c>
      <c r="AP22" s="1453"/>
      <c r="AR22" s="1453"/>
      <c r="AS22" s="1453"/>
      <c r="AT22" s="1453"/>
      <c r="AU22" s="1453"/>
      <c r="AV22" s="1453"/>
      <c r="AW22" s="1453"/>
    </row>
    <row r="23" spans="2:49">
      <c r="I23" s="1520"/>
      <c r="J23" s="1519"/>
      <c r="K23" s="1518"/>
      <c r="L23" s="1518"/>
      <c r="M23" s="1517"/>
      <c r="N23" s="1517"/>
      <c r="AO23" s="1305" t="s">
        <v>114</v>
      </c>
      <c r="AP23" s="1453"/>
      <c r="AR23" s="1453"/>
      <c r="AS23" s="1453"/>
      <c r="AT23" s="1453"/>
      <c r="AU23" s="1453"/>
      <c r="AV23" s="1453"/>
      <c r="AW23" s="1453"/>
    </row>
    <row r="24" spans="2:49" s="1305" customFormat="1">
      <c r="D24" s="1426"/>
      <c r="E24" s="1426"/>
      <c r="F24" s="1426"/>
      <c r="G24" s="2460" t="s">
        <v>1239</v>
      </c>
      <c r="H24" s="2461"/>
      <c r="I24" s="2461"/>
      <c r="J24" s="2462"/>
      <c r="K24" s="2463" t="str">
        <f>IF('F-TIV'!O17&lt;&gt;"",'F-TIV'!O17,"")</f>
        <v/>
      </c>
      <c r="L24" s="2463"/>
      <c r="M24" s="2463"/>
      <c r="N24" s="2463"/>
      <c r="O24" s="1426"/>
      <c r="P24" s="1426"/>
      <c r="Q24" s="1426"/>
      <c r="R24" s="1426"/>
      <c r="S24" s="1426"/>
      <c r="T24" s="1426"/>
      <c r="U24" s="1426"/>
      <c r="V24" s="1426"/>
      <c r="W24" s="1426"/>
      <c r="X24" s="1426"/>
      <c r="Y24" s="1426"/>
      <c r="Z24" s="1426"/>
      <c r="AA24" s="1426"/>
      <c r="AB24" s="1426"/>
      <c r="AC24" s="1426"/>
      <c r="AD24" s="1426"/>
      <c r="AE24" s="1426"/>
      <c r="AF24" s="1426"/>
      <c r="AJ24" s="1305" t="s">
        <v>1218</v>
      </c>
      <c r="AO24" s="1426" t="s">
        <v>115</v>
      </c>
      <c r="AP24" s="1453"/>
      <c r="AR24" s="1453"/>
      <c r="AS24" s="1453"/>
      <c r="AT24" s="1453"/>
      <c r="AU24" s="1453"/>
      <c r="AV24" s="1453"/>
      <c r="AW24" s="1453"/>
    </row>
    <row r="25" spans="2:49">
      <c r="H25" s="1442"/>
      <c r="I25" s="1515"/>
      <c r="J25" s="1514" t="s">
        <v>1238</v>
      </c>
      <c r="K25" s="2464" t="str">
        <f>IF('F-TIV'!O18&lt;&gt;"",'F-TIV'!O18,"")</f>
        <v/>
      </c>
      <c r="L25" s="2464"/>
      <c r="M25" s="2464"/>
      <c r="N25" s="2464"/>
      <c r="AJ25" s="1305" t="s">
        <v>114</v>
      </c>
      <c r="AO25" s="1442"/>
      <c r="AP25" s="1453"/>
      <c r="AR25" s="1453"/>
      <c r="AS25" s="1453"/>
      <c r="AT25" s="1453"/>
      <c r="AU25" s="1453"/>
      <c r="AV25" s="1453"/>
      <c r="AW25" s="1453"/>
    </row>
    <row r="26" spans="2:49" ht="12.75" customHeight="1">
      <c r="D26" s="1305"/>
      <c r="E26" s="1305"/>
      <c r="F26" s="1305"/>
      <c r="G26" s="1305"/>
      <c r="H26" s="1516"/>
      <c r="I26" s="1515"/>
      <c r="J26" s="1514" t="s">
        <v>1237</v>
      </c>
      <c r="K26" s="2465" t="str">
        <f>IF('F-TIV'!O19&lt;&gt;"",'F-TIV'!O19,"")</f>
        <v/>
      </c>
      <c r="L26" s="2465"/>
      <c r="M26" s="2465"/>
      <c r="N26" s="2465"/>
      <c r="O26" s="1305"/>
      <c r="P26" s="1305"/>
      <c r="Q26" s="1305"/>
      <c r="R26" s="1305"/>
      <c r="S26" s="1305"/>
      <c r="T26" s="1305"/>
      <c r="U26" s="1305"/>
      <c r="V26" s="1305"/>
      <c r="W26" s="1305"/>
      <c r="X26" s="1305"/>
      <c r="Y26" s="1305"/>
      <c r="Z26" s="1305"/>
      <c r="AA26" s="1305"/>
      <c r="AB26" s="1305"/>
      <c r="AC26" s="1305"/>
      <c r="AD26" s="1305"/>
      <c r="AE26" s="1305"/>
      <c r="AF26" s="1305"/>
      <c r="AJ26" s="1426" t="s">
        <v>115</v>
      </c>
      <c r="AO26" s="1442"/>
      <c r="AP26" s="1453"/>
      <c r="AR26" s="1453"/>
      <c r="AS26" s="1453"/>
      <c r="AT26" s="1453"/>
      <c r="AU26" s="1453"/>
      <c r="AV26" s="1453"/>
      <c r="AW26" s="1453"/>
    </row>
    <row r="27" spans="2:49">
      <c r="N27" s="1513"/>
      <c r="O27" s="1513"/>
      <c r="X27" s="1513"/>
      <c r="Y27" s="1513"/>
      <c r="AF27" s="1426" t="s">
        <v>123</v>
      </c>
      <c r="AJ27" s="1426" t="s">
        <v>1236</v>
      </c>
      <c r="AO27" s="1442"/>
      <c r="AP27" s="1453"/>
      <c r="AR27" s="1453"/>
      <c r="AS27" s="1453"/>
      <c r="AT27" s="1453"/>
      <c r="AU27" s="1453"/>
      <c r="AV27" s="1453"/>
    </row>
    <row r="28" spans="2:49" ht="27" customHeight="1">
      <c r="B28" s="1512"/>
      <c r="C28" s="2457" t="s">
        <v>1235</v>
      </c>
      <c r="D28" s="2457" t="s">
        <v>124</v>
      </c>
      <c r="E28" s="2457" t="s">
        <v>66</v>
      </c>
      <c r="F28" s="2457" t="s">
        <v>67</v>
      </c>
      <c r="G28" s="2496" t="s">
        <v>68</v>
      </c>
      <c r="H28" s="2457" t="s">
        <v>1234</v>
      </c>
      <c r="I28" s="2457" t="s">
        <v>1233</v>
      </c>
      <c r="J28" s="2457" t="s">
        <v>62</v>
      </c>
      <c r="K28" s="2457" t="s">
        <v>1232</v>
      </c>
      <c r="L28" s="1591" t="s">
        <v>1231</v>
      </c>
      <c r="M28" s="1591" t="s">
        <v>1230</v>
      </c>
      <c r="N28" s="1592" t="s">
        <v>1231</v>
      </c>
      <c r="O28" s="1591" t="s">
        <v>1230</v>
      </c>
      <c r="P28" s="1592" t="s">
        <v>1231</v>
      </c>
      <c r="Q28" s="1591" t="s">
        <v>1230</v>
      </c>
      <c r="R28" s="1592" t="s">
        <v>1231</v>
      </c>
      <c r="S28" s="1591" t="s">
        <v>1230</v>
      </c>
      <c r="T28" s="1592" t="s">
        <v>1231</v>
      </c>
      <c r="U28" s="1591" t="s">
        <v>1230</v>
      </c>
      <c r="V28" s="2457" t="s">
        <v>1179</v>
      </c>
      <c r="W28" s="2457" t="s">
        <v>1178</v>
      </c>
      <c r="X28" s="2457" t="s">
        <v>1229</v>
      </c>
      <c r="Y28" s="2457" t="s">
        <v>61</v>
      </c>
      <c r="Z28" s="2457" t="s">
        <v>65</v>
      </c>
      <c r="AA28" s="2457" t="s">
        <v>1228</v>
      </c>
      <c r="AB28" s="2496" t="s">
        <v>1227</v>
      </c>
      <c r="AG28" s="1510"/>
      <c r="AK28" s="1442"/>
      <c r="AL28" s="1453"/>
      <c r="AN28" s="1453"/>
      <c r="AO28" s="1453"/>
      <c r="AP28" s="1453"/>
      <c r="AQ28" s="1453"/>
      <c r="AR28" s="1453"/>
    </row>
    <row r="29" spans="2:49" ht="13.5">
      <c r="B29" s="1511"/>
      <c r="C29" s="2458"/>
      <c r="D29" s="2458"/>
      <c r="E29" s="2458"/>
      <c r="F29" s="2458"/>
      <c r="G29" s="2496"/>
      <c r="H29" s="2458"/>
      <c r="I29" s="2458"/>
      <c r="J29" s="2458"/>
      <c r="K29" s="2458"/>
      <c r="L29" s="2497">
        <v>0.3</v>
      </c>
      <c r="M29" s="2498"/>
      <c r="N29" s="2497">
        <v>0.5</v>
      </c>
      <c r="O29" s="2498"/>
      <c r="P29" s="2497">
        <v>0.6</v>
      </c>
      <c r="Q29" s="2498"/>
      <c r="R29" s="2497">
        <v>0.7</v>
      </c>
      <c r="S29" s="2498"/>
      <c r="T29" s="2497">
        <v>0.8</v>
      </c>
      <c r="U29" s="2498"/>
      <c r="V29" s="2458"/>
      <c r="W29" s="2458"/>
      <c r="X29" s="2458"/>
      <c r="Y29" s="2458"/>
      <c r="Z29" s="2458"/>
      <c r="AA29" s="2458"/>
      <c r="AB29" s="2496"/>
      <c r="AG29" s="1510"/>
      <c r="AL29" s="1453"/>
      <c r="AN29" s="1453"/>
      <c r="AO29" s="1453"/>
      <c r="AP29" s="1453"/>
      <c r="AQ29" s="1453"/>
      <c r="AR29" s="1453"/>
    </row>
    <row r="30" spans="2:49" s="1442" customFormat="1" ht="11.25" customHeight="1">
      <c r="B30" s="1501" t="str">
        <f t="shared" ref="B30:B61" si="0">IF((C30&lt;&gt;""),"1","0")</f>
        <v>0</v>
      </c>
      <c r="C30" s="1506" t="str">
        <f>IF('F-TIV'!D27&lt;&gt;"",'F-TIV'!D27,"")</f>
        <v/>
      </c>
      <c r="D30" s="1501" t="str">
        <f>IF('F-TIV'!C27&lt;&gt;"",'F-TIV'!C27,"")</f>
        <v/>
      </c>
      <c r="E30" s="1502" t="str">
        <f>IF('F-TIV'!Q27&lt;&gt;"",'F-TIV'!Q27,"")</f>
        <v/>
      </c>
      <c r="F30" s="1502" t="str">
        <f>IF('F-TIV'!R27&lt;&gt;"",'F-TIV'!R27,"")</f>
        <v/>
      </c>
      <c r="G30" s="1505" t="str">
        <f>IF('F-TIV'!S27&lt;&gt;"",'F-TIV'!S27,"")</f>
        <v/>
      </c>
      <c r="H30" s="1501" t="str">
        <f>IF('F-TIV'!F27&lt;&gt;"",'F-TIV'!F27,"")</f>
        <v/>
      </c>
      <c r="I30" s="1500" t="str">
        <f>IF(AND(C30&lt;&gt;"",C30&lt;&gt;"Vacant",C30&lt;&gt;"Manager"),IF('F-TIV'!H27&lt;&gt;"",'F-TIV'!H27,""),"")</f>
        <v/>
      </c>
      <c r="J30" s="1500" t="str">
        <f>IF(AND(C30&lt;&gt;"",C30&lt;&gt;"Vacant",C30&lt;&gt;"Manager"),IF('F-TIV'!J27&lt;&gt;0,'F-TIV'!J27,"$0"),"")</f>
        <v/>
      </c>
      <c r="K30" s="1500" t="str">
        <f t="shared" ref="K30:K61" si="1">IFERROR(I30-J30,"")</f>
        <v/>
      </c>
      <c r="L30" s="1504" t="str">
        <f t="shared" ref="L30:L61" si="2">IF(AND(C30&lt;&gt;"Vacant",C30&lt;&gt;"Manager",C30&lt;&gt;""),IF(C30="","",IF(H30="Studio",_VLI1,IF(H30=1,_VLI2,IF(H30=2,_VLI3,IF(H30=3,_VLI5,IF(H30=4,_VLI6,IF(H30=5,_VLI7,_VLI8))))))),"")</f>
        <v/>
      </c>
      <c r="M30" s="1504" t="str">
        <f t="shared" ref="M30:M61" si="3">IF(AND(C30&lt;&gt;"Vacant",C30&lt;&gt;"",C30&lt;&gt;"Manager"),(IF(L30&gt;=K30,"Yes",IF(L30&lt;K30,"No"))),"")</f>
        <v/>
      </c>
      <c r="N30" s="1504" t="str">
        <f t="shared" ref="N30:N61" si="4">IF(AND(C30&lt;&gt;"Vacant",C30&lt;&gt;"",C30&lt;&gt;"Manager"),IF(H30="","",IF(H30="Studio",RENT1,IF(H30=1,RENT2,IF(H30=2,RENT3,IF(H30=3,RENT5,IF(H30=4,RENT6,IF(H30=5,RENT7,RENT8))))))),"")</f>
        <v/>
      </c>
      <c r="O30" s="1504" t="str">
        <f t="shared" ref="O30:O61" si="5">IF(AND(C30&lt;&gt;"Vacant",C30&lt;&gt;"",C30&lt;&gt;"Manager"),(IF(N30&gt;=K30,"Yes",IF(N30&lt;K30,"No"))),"")</f>
        <v/>
      </c>
      <c r="P30" s="1504" t="str">
        <f t="shared" ref="P30:P61" si="6">IF(AND(C30&lt;&gt;"Vacant", C30&lt;&gt;"Manager",C30&lt;&gt;""),IF(H30="","",IF(H30="Studio",RENTA1,IF(H30=1,RENTA2,IF(H30=2,RENTA3,IF(H30=3,RENTA5,IF(H30=4,RENTA6,IF(H30=5,RENTA7,RENTA8))))))),"")</f>
        <v/>
      </c>
      <c r="Q30" s="1504" t="str">
        <f t="shared" ref="Q30:Q61" si="7">IF(AND(C30&lt;&gt;"Vacant",C30&lt;&gt;"",C30&lt;&gt;"Manager"),(IF(P30&gt;=K30,"Yes",IF(P30&lt;K30,"No"))),"")</f>
        <v/>
      </c>
      <c r="R30" s="1504" t="str">
        <f t="shared" ref="R30:R61" si="8">IF(AND(C30&lt;&gt;"Vacant",C30&lt;&gt;"Manager",C30&lt;&gt;""),IF(H30="","",IF(H30="Studio",$F$16,IF(H30=1,$G$16,IF(H30=2,$H$16,IF(H30=3,$J$16,IF(H30=4,$K$16,IF(H30=5,$L$16,$M$16))))))),"")</f>
        <v/>
      </c>
      <c r="S30" s="1504" t="str">
        <f t="shared" ref="S30:S61" si="9">IF(AND(C30&lt;&gt;"Vacant",C30&lt;&gt;"",C30&lt;&gt;"Manager"),(IF(R30&gt;=K30,"Yes",IF(R30&lt;K30,"No"))),"")</f>
        <v/>
      </c>
      <c r="T30" s="1504" t="str">
        <f t="shared" ref="T30:T61" si="10">IF(AND(C30&lt;&gt;"Vacant",C30&lt;&gt;"Manager",C30&lt;&gt;""),IF(C30="","",IF(H30="Studio",$F$17,IF(H30=1,$G$17,IF(H30=2,$H$17,IF(H30=3,$J$17,IF(H30=4,$K$17,IF(H30=5,$L$17,$M$17))))))),"")</f>
        <v/>
      </c>
      <c r="U30" s="1504" t="str">
        <f t="shared" ref="U30:U61" si="11">IF(AND(C30&lt;&gt;"Vacant",C30&lt;&gt;"",C30&lt;&gt;"Manager"),(IF(T30&gt;=K30,"Yes",IF(T30&lt;K30,"No"))),"")</f>
        <v/>
      </c>
      <c r="V30" s="1503" t="str">
        <f>IF(AND(C30&lt;&gt;"",C30&lt;&gt;"Vacant",C30&lt;&gt;"Manager"),'F-TIV'!O27,"")</f>
        <v/>
      </c>
      <c r="W30" s="1502" t="str">
        <f>IF(AND(C30&lt;&gt;"",C30&lt;&gt;"Vacant",C30&lt;&gt;"Manager"),'F-TIV'!P27,"")</f>
        <v/>
      </c>
      <c r="X30" s="1498" t="str">
        <f t="shared" ref="X30:X61" si="12">IFERROR(IF(AND(C30&lt;&gt;"",C30&lt;&gt;"Vacant",C30&lt;&gt;"Manager",Z30&gt;=0),K30*12/Z30,""),"0.0%")</f>
        <v/>
      </c>
      <c r="Y30" s="1501" t="str">
        <f>IF('F-TIV'!G27&lt;&gt;"",'F-TIV'!G27,"")</f>
        <v/>
      </c>
      <c r="Z30" s="1500" t="str">
        <f>IF(AND(C30&lt;&gt;"",C30&lt;&gt;"Vacant",C30&lt;&gt;"Manager"),'F-TIV'!L27,"")</f>
        <v/>
      </c>
      <c r="AA30" s="1499" t="str">
        <f t="shared" ref="AA30:AA61" si="13">IF(AND(C30&lt;&gt;"Vacant",C30&lt;&gt;"",C30&lt;&gt;"Manager"),IF(C30=0,"",IF(Y30=1,_PER1,IF(Y30=2,_PER2,IF(Y30=3,_PER3,IF(Y30=4,_PER4,IF(Y30=5,_PER5,IF(Y30=6,_PER6,IF(Y30=7,_PER7,_PER8)))))))),"")</f>
        <v/>
      </c>
      <c r="AB30" s="1498" t="str">
        <f t="shared" ref="AB30:AB61" si="14">IFERROR(IF(AND(C30&lt;&gt;"",C30&lt;&gt;"Vacant",C30&lt;&gt;"Manager"),ROUNDDOWN(Z30/AA30,2),""),"0.0%")</f>
        <v/>
      </c>
      <c r="AC30" s="1426"/>
      <c r="AD30" s="1426"/>
      <c r="AE30" s="1426"/>
      <c r="AG30" s="1509"/>
      <c r="AL30" s="1496"/>
      <c r="AN30" s="1496"/>
      <c r="AO30" s="1496"/>
      <c r="AP30" s="1496"/>
      <c r="AQ30" s="1496"/>
      <c r="AR30" s="1496"/>
    </row>
    <row r="31" spans="2:49" s="1442" customFormat="1" ht="11.25" customHeight="1">
      <c r="B31" s="1501" t="str">
        <f t="shared" si="0"/>
        <v>0</v>
      </c>
      <c r="C31" s="1506" t="str">
        <f>IF('F-TIV'!D28&lt;&gt;"",'F-TIV'!D28,"")</f>
        <v/>
      </c>
      <c r="D31" s="1501" t="str">
        <f>IF('F-TIV'!C28&lt;&gt;"",'F-TIV'!C28,"")</f>
        <v/>
      </c>
      <c r="E31" s="1502" t="str">
        <f>IF('F-TIV'!Q28&lt;&gt;"",'F-TIV'!Q28,"")</f>
        <v/>
      </c>
      <c r="F31" s="1502" t="str">
        <f>IF('F-TIV'!R28&lt;&gt;"",'F-TIV'!R28,"")</f>
        <v/>
      </c>
      <c r="G31" s="1505" t="str">
        <f>IF('F-TIV'!S28&lt;&gt;"",'F-TIV'!S28,"")</f>
        <v/>
      </c>
      <c r="H31" s="1501" t="str">
        <f>IF('F-TIV'!F28&lt;&gt;"",'F-TIV'!F28,"")</f>
        <v/>
      </c>
      <c r="I31" s="1500" t="str">
        <f>IF(AND(C31&lt;&gt;"",C31&lt;&gt;"Vacant",C31&lt;&gt;"Manager"),IF('F-TIV'!H28&lt;&gt;"",'F-TIV'!H28,""),"")</f>
        <v/>
      </c>
      <c r="J31" s="1500" t="str">
        <f>IF(AND(C31&lt;&gt;"",C31&lt;&gt;"Vacant",C31&lt;&gt;"Manager"),IF('F-TIV'!J28&lt;&gt;0,'F-TIV'!J28,"$0"),"")</f>
        <v/>
      </c>
      <c r="K31" s="1500" t="str">
        <f t="shared" si="1"/>
        <v/>
      </c>
      <c r="L31" s="1504" t="str">
        <f t="shared" si="2"/>
        <v/>
      </c>
      <c r="M31" s="1504" t="str">
        <f t="shared" si="3"/>
        <v/>
      </c>
      <c r="N31" s="1504" t="str">
        <f t="shared" si="4"/>
        <v/>
      </c>
      <c r="O31" s="1504" t="str">
        <f t="shared" si="5"/>
        <v/>
      </c>
      <c r="P31" s="1504" t="str">
        <f t="shared" si="6"/>
        <v/>
      </c>
      <c r="Q31" s="1504" t="str">
        <f t="shared" si="7"/>
        <v/>
      </c>
      <c r="R31" s="1504" t="str">
        <f t="shared" si="8"/>
        <v/>
      </c>
      <c r="S31" s="1504" t="str">
        <f t="shared" si="9"/>
        <v/>
      </c>
      <c r="T31" s="1504" t="str">
        <f t="shared" si="10"/>
        <v/>
      </c>
      <c r="U31" s="1504" t="str">
        <f t="shared" si="11"/>
        <v/>
      </c>
      <c r="V31" s="1503" t="str">
        <f>IF(AND(C31&lt;&gt;"",C31&lt;&gt;"Vacant",C31&lt;&gt;"Manager"),'F-TIV'!O28,"")</f>
        <v/>
      </c>
      <c r="W31" s="1502" t="str">
        <f>IF(AND(C31&lt;&gt;"",C31&lt;&gt;"Vacant",C31&lt;&gt;"Manager"),'F-TIV'!P28,"")</f>
        <v/>
      </c>
      <c r="X31" s="1498" t="str">
        <f t="shared" si="12"/>
        <v/>
      </c>
      <c r="Y31" s="1501" t="str">
        <f>IF('F-TIV'!G28&lt;&gt;"",'F-TIV'!G28,"")</f>
        <v/>
      </c>
      <c r="Z31" s="1500" t="str">
        <f>IF(AND(C31&lt;&gt;"",C31&lt;&gt;"Vacant",C31&lt;&gt;"Manager"),'F-TIV'!L28,"")</f>
        <v/>
      </c>
      <c r="AA31" s="1499" t="str">
        <f t="shared" si="13"/>
        <v/>
      </c>
      <c r="AB31" s="1498" t="str">
        <f t="shared" si="14"/>
        <v/>
      </c>
      <c r="AC31" s="1426"/>
      <c r="AD31" s="1426"/>
      <c r="AE31" s="1426"/>
      <c r="AG31" s="1497"/>
      <c r="AL31" s="1496"/>
      <c r="AN31" s="1496"/>
      <c r="AO31" s="1496"/>
      <c r="AP31" s="1496"/>
      <c r="AQ31" s="1496"/>
      <c r="AR31" s="1496"/>
    </row>
    <row r="32" spans="2:49" s="1442" customFormat="1" ht="11.25" customHeight="1">
      <c r="B32" s="1501" t="str">
        <f t="shared" si="0"/>
        <v>0</v>
      </c>
      <c r="C32" s="1506" t="str">
        <f>IF('F-TIV'!D29&lt;&gt;"",'F-TIV'!D29,"")</f>
        <v/>
      </c>
      <c r="D32" s="1501" t="str">
        <f>IF('F-TIV'!C29&lt;&gt;"",'F-TIV'!C29,"")</f>
        <v/>
      </c>
      <c r="E32" s="1502" t="str">
        <f>IF('F-TIV'!Q29&lt;&gt;"",'F-TIV'!Q29,"")</f>
        <v/>
      </c>
      <c r="F32" s="1502" t="str">
        <f>IF('F-TIV'!R29&lt;&gt;"",'F-TIV'!R29,"")</f>
        <v/>
      </c>
      <c r="G32" s="1505" t="str">
        <f>IF('F-TIV'!S29&lt;&gt;"",'F-TIV'!S29,"")</f>
        <v/>
      </c>
      <c r="H32" s="1501" t="str">
        <f>IF('F-TIV'!F29&lt;&gt;"",'F-TIV'!F29,"")</f>
        <v/>
      </c>
      <c r="I32" s="1500" t="str">
        <f>IF(AND(C32&lt;&gt;"",C32&lt;&gt;"Vacant",C32&lt;&gt;"Manager"),IF('F-TIV'!H29&lt;&gt;"",'F-TIV'!H29,""),"")</f>
        <v/>
      </c>
      <c r="J32" s="1500" t="str">
        <f>IF(AND(C32&lt;&gt;"",C32&lt;&gt;"Vacant",C32&lt;&gt;"Manager"),IF('F-TIV'!J29&lt;&gt;0,'F-TIV'!J29,"$0"),"")</f>
        <v/>
      </c>
      <c r="K32" s="1500" t="str">
        <f t="shared" si="1"/>
        <v/>
      </c>
      <c r="L32" s="1504" t="str">
        <f t="shared" si="2"/>
        <v/>
      </c>
      <c r="M32" s="1504" t="str">
        <f t="shared" si="3"/>
        <v/>
      </c>
      <c r="N32" s="1504" t="str">
        <f t="shared" si="4"/>
        <v/>
      </c>
      <c r="O32" s="1504" t="str">
        <f t="shared" si="5"/>
        <v/>
      </c>
      <c r="P32" s="1504" t="str">
        <f t="shared" si="6"/>
        <v/>
      </c>
      <c r="Q32" s="1504" t="str">
        <f t="shared" si="7"/>
        <v/>
      </c>
      <c r="R32" s="1504" t="str">
        <f t="shared" si="8"/>
        <v/>
      </c>
      <c r="S32" s="1504" t="str">
        <f t="shared" si="9"/>
        <v/>
      </c>
      <c r="T32" s="1504" t="str">
        <f t="shared" si="10"/>
        <v/>
      </c>
      <c r="U32" s="1504" t="str">
        <f t="shared" si="11"/>
        <v/>
      </c>
      <c r="V32" s="1503" t="str">
        <f>IF(AND(C32&lt;&gt;"",C32&lt;&gt;"Vacant",C32&lt;&gt;"Manager"),'F-TIV'!O29,"")</f>
        <v/>
      </c>
      <c r="W32" s="1502" t="str">
        <f>IF(AND(C32&lt;&gt;"",C32&lt;&gt;"Vacant",C32&lt;&gt;"Manager"),'F-TIV'!P29,"")</f>
        <v/>
      </c>
      <c r="X32" s="1498" t="str">
        <f t="shared" si="12"/>
        <v/>
      </c>
      <c r="Y32" s="1501" t="str">
        <f>IF('F-TIV'!G29&lt;&gt;"",'F-TIV'!G29,"")</f>
        <v/>
      </c>
      <c r="Z32" s="1500" t="str">
        <f>IF(AND(C32&lt;&gt;"",C32&lt;&gt;"Vacant",C32&lt;&gt;"Manager"),'F-TIV'!L29,"")</f>
        <v/>
      </c>
      <c r="AA32" s="1499" t="str">
        <f t="shared" si="13"/>
        <v/>
      </c>
      <c r="AB32" s="1498" t="str">
        <f t="shared" si="14"/>
        <v/>
      </c>
      <c r="AC32" s="1426"/>
      <c r="AD32" s="1508"/>
      <c r="AE32" s="1426"/>
      <c r="AG32" s="1497"/>
      <c r="AL32" s="1496"/>
      <c r="AN32" s="1496"/>
      <c r="AO32" s="1496"/>
      <c r="AP32" s="1496"/>
      <c r="AQ32" s="1496"/>
      <c r="AR32" s="1496"/>
    </row>
    <row r="33" spans="2:44" s="1442" customFormat="1" ht="11.25" customHeight="1">
      <c r="B33" s="1501" t="str">
        <f t="shared" si="0"/>
        <v>0</v>
      </c>
      <c r="C33" s="1506" t="str">
        <f>IF('F-TIV'!D30&lt;&gt;"",'F-TIV'!D30,"")</f>
        <v/>
      </c>
      <c r="D33" s="1501" t="str">
        <f>IF('F-TIV'!C30&lt;&gt;"",'F-TIV'!C30,"")</f>
        <v/>
      </c>
      <c r="E33" s="1502" t="str">
        <f>IF('F-TIV'!Q30&lt;&gt;"",'F-TIV'!Q30,"")</f>
        <v/>
      </c>
      <c r="F33" s="1502" t="str">
        <f>IF('F-TIV'!R30&lt;&gt;"",'F-TIV'!R30,"")</f>
        <v/>
      </c>
      <c r="G33" s="1505" t="str">
        <f>IF('F-TIV'!S30&lt;&gt;"",'F-TIV'!S30,"")</f>
        <v/>
      </c>
      <c r="H33" s="1501" t="str">
        <f>IF('F-TIV'!F30&lt;&gt;"",'F-TIV'!F30,"")</f>
        <v/>
      </c>
      <c r="I33" s="1500" t="str">
        <f>IF(AND(C33&lt;&gt;"",C33&lt;&gt;"Vacant",C33&lt;&gt;"Manager"),IF('F-TIV'!H30&lt;&gt;"",'F-TIV'!H30,""),"")</f>
        <v/>
      </c>
      <c r="J33" s="1500" t="str">
        <f>IF(AND(C33&lt;&gt;"",C33&lt;&gt;"Vacant",C33&lt;&gt;"Manager"),IF('F-TIV'!J30&lt;&gt;0,'F-TIV'!J30,"$0"),"")</f>
        <v/>
      </c>
      <c r="K33" s="1500" t="str">
        <f t="shared" si="1"/>
        <v/>
      </c>
      <c r="L33" s="1504" t="str">
        <f t="shared" si="2"/>
        <v/>
      </c>
      <c r="M33" s="1504" t="str">
        <f t="shared" si="3"/>
        <v/>
      </c>
      <c r="N33" s="1504" t="str">
        <f t="shared" si="4"/>
        <v/>
      </c>
      <c r="O33" s="1504" t="str">
        <f t="shared" si="5"/>
        <v/>
      </c>
      <c r="P33" s="1504" t="str">
        <f t="shared" si="6"/>
        <v/>
      </c>
      <c r="Q33" s="1504" t="str">
        <f t="shared" si="7"/>
        <v/>
      </c>
      <c r="R33" s="1504" t="str">
        <f t="shared" si="8"/>
        <v/>
      </c>
      <c r="S33" s="1504" t="str">
        <f t="shared" si="9"/>
        <v/>
      </c>
      <c r="T33" s="1504" t="str">
        <f t="shared" si="10"/>
        <v/>
      </c>
      <c r="U33" s="1504" t="str">
        <f t="shared" si="11"/>
        <v/>
      </c>
      <c r="V33" s="1503" t="str">
        <f>IF(AND(C33&lt;&gt;"",C33&lt;&gt;"Vacant",C33&lt;&gt;"Manager"),'F-TIV'!O30,"")</f>
        <v/>
      </c>
      <c r="W33" s="1502" t="str">
        <f>IF(AND(C33&lt;&gt;"",C33&lt;&gt;"Vacant",C33&lt;&gt;"Manager"),'F-TIV'!P30,"")</f>
        <v/>
      </c>
      <c r="X33" s="1498" t="str">
        <f t="shared" si="12"/>
        <v/>
      </c>
      <c r="Y33" s="1501" t="str">
        <f>IF('F-TIV'!G30&lt;&gt;"",'F-TIV'!G30,"")</f>
        <v/>
      </c>
      <c r="Z33" s="1500" t="str">
        <f>IF(AND(C33&lt;&gt;"",C33&lt;&gt;"Vacant",C33&lt;&gt;"Manager"),'F-TIV'!L30,"")</f>
        <v/>
      </c>
      <c r="AA33" s="1499" t="str">
        <f t="shared" si="13"/>
        <v/>
      </c>
      <c r="AB33" s="1498" t="str">
        <f t="shared" si="14"/>
        <v/>
      </c>
      <c r="AC33" s="1426"/>
      <c r="AD33" s="1508"/>
      <c r="AE33" s="1426"/>
      <c r="AG33" s="1497"/>
      <c r="AL33" s="1496"/>
      <c r="AN33" s="1496"/>
      <c r="AO33" s="1496"/>
      <c r="AP33" s="1496"/>
      <c r="AQ33" s="1496"/>
      <c r="AR33" s="1496"/>
    </row>
    <row r="34" spans="2:44" s="1442" customFormat="1" ht="11.25" customHeight="1">
      <c r="B34" s="1501" t="str">
        <f t="shared" si="0"/>
        <v>0</v>
      </c>
      <c r="C34" s="1506" t="str">
        <f>IF('F-TIV'!D31&lt;&gt;"",'F-TIV'!D31,"")</f>
        <v/>
      </c>
      <c r="D34" s="1501" t="str">
        <f>IF('F-TIV'!C31&lt;&gt;"",'F-TIV'!C31,"")</f>
        <v/>
      </c>
      <c r="E34" s="1502" t="str">
        <f>IF('F-TIV'!Q31&lt;&gt;"",'F-TIV'!Q31,"")</f>
        <v/>
      </c>
      <c r="F34" s="1502" t="str">
        <f>IF('F-TIV'!R31&lt;&gt;"",'F-TIV'!R31,"")</f>
        <v/>
      </c>
      <c r="G34" s="1505" t="str">
        <f>IF('F-TIV'!S31&lt;&gt;"",'F-TIV'!S31,"")</f>
        <v/>
      </c>
      <c r="H34" s="1501" t="str">
        <f>IF('F-TIV'!F31&lt;&gt;"",'F-TIV'!F31,"")</f>
        <v/>
      </c>
      <c r="I34" s="1500" t="str">
        <f>IF(AND(C34&lt;&gt;"",C34&lt;&gt;"Vacant",C34&lt;&gt;"Manager"),IF('F-TIV'!H31&lt;&gt;"",'F-TIV'!H31,""),"")</f>
        <v/>
      </c>
      <c r="J34" s="1500" t="str">
        <f>IF(AND(C34&lt;&gt;"",C34&lt;&gt;"Vacant",C34&lt;&gt;"Manager"),IF('F-TIV'!J31&lt;&gt;0,'F-TIV'!J31,"$0"),"")</f>
        <v/>
      </c>
      <c r="K34" s="1500" t="str">
        <f t="shared" si="1"/>
        <v/>
      </c>
      <c r="L34" s="1504" t="str">
        <f t="shared" si="2"/>
        <v/>
      </c>
      <c r="M34" s="1504" t="str">
        <f t="shared" si="3"/>
        <v/>
      </c>
      <c r="N34" s="1504" t="str">
        <f t="shared" si="4"/>
        <v/>
      </c>
      <c r="O34" s="1504" t="str">
        <f t="shared" si="5"/>
        <v/>
      </c>
      <c r="P34" s="1504" t="str">
        <f t="shared" si="6"/>
        <v/>
      </c>
      <c r="Q34" s="1504" t="str">
        <f t="shared" si="7"/>
        <v/>
      </c>
      <c r="R34" s="1504" t="str">
        <f t="shared" si="8"/>
        <v/>
      </c>
      <c r="S34" s="1504" t="str">
        <f t="shared" si="9"/>
        <v/>
      </c>
      <c r="T34" s="1504" t="str">
        <f t="shared" si="10"/>
        <v/>
      </c>
      <c r="U34" s="1504" t="str">
        <f t="shared" si="11"/>
        <v/>
      </c>
      <c r="V34" s="1503" t="str">
        <f>IF(AND(C34&lt;&gt;"",C34&lt;&gt;"Vacant",C34&lt;&gt;"Manager"),'F-TIV'!O31,"")</f>
        <v/>
      </c>
      <c r="W34" s="1502" t="str">
        <f>IF(AND(C34&lt;&gt;"",C34&lt;&gt;"Vacant",C34&lt;&gt;"Manager"),'F-TIV'!P31,"")</f>
        <v/>
      </c>
      <c r="X34" s="1498" t="str">
        <f t="shared" si="12"/>
        <v/>
      </c>
      <c r="Y34" s="1501" t="str">
        <f>IF('F-TIV'!G31&lt;&gt;"",'F-TIV'!G31,"")</f>
        <v/>
      </c>
      <c r="Z34" s="1500" t="str">
        <f>IF(AND(C34&lt;&gt;"",C34&lt;&gt;"Vacant",C34&lt;&gt;"Manager"),'F-TIV'!L31,"")</f>
        <v/>
      </c>
      <c r="AA34" s="1499" t="str">
        <f t="shared" si="13"/>
        <v/>
      </c>
      <c r="AB34" s="1498" t="str">
        <f t="shared" si="14"/>
        <v/>
      </c>
      <c r="AC34" s="1426"/>
      <c r="AD34" s="1508"/>
      <c r="AE34" s="1426"/>
      <c r="AG34" s="1497"/>
      <c r="AL34" s="1496"/>
      <c r="AN34" s="1496"/>
      <c r="AO34" s="1496"/>
      <c r="AP34" s="1496"/>
      <c r="AQ34" s="1496"/>
      <c r="AR34" s="1496"/>
    </row>
    <row r="35" spans="2:44" s="1442" customFormat="1" ht="11.25" customHeight="1">
      <c r="B35" s="1501" t="str">
        <f t="shared" si="0"/>
        <v>0</v>
      </c>
      <c r="C35" s="1506" t="str">
        <f>IF('F-TIV'!D32&lt;&gt;"",'F-TIV'!D32,"")</f>
        <v/>
      </c>
      <c r="D35" s="1501" t="str">
        <f>IF('F-TIV'!C32&lt;&gt;"",'F-TIV'!C32,"")</f>
        <v/>
      </c>
      <c r="E35" s="1502" t="str">
        <f>IF('F-TIV'!Q32&lt;&gt;"",'F-TIV'!Q32,"")</f>
        <v/>
      </c>
      <c r="F35" s="1502" t="str">
        <f>IF('F-TIV'!R32&lt;&gt;"",'F-TIV'!R32,"")</f>
        <v/>
      </c>
      <c r="G35" s="1505" t="str">
        <f>IF('F-TIV'!S32&lt;&gt;"",'F-TIV'!S32,"")</f>
        <v/>
      </c>
      <c r="H35" s="1501" t="str">
        <f>IF('F-TIV'!F32&lt;&gt;"",'F-TIV'!F32,"")</f>
        <v/>
      </c>
      <c r="I35" s="1500" t="str">
        <f>IF(AND(C35&lt;&gt;"",C35&lt;&gt;"Vacant",C35&lt;&gt;"Manager"),IF('F-TIV'!H32&lt;&gt;"",'F-TIV'!H32,""),"")</f>
        <v/>
      </c>
      <c r="J35" s="1500" t="str">
        <f>IF(AND(C35&lt;&gt;"",C35&lt;&gt;"Vacant",C35&lt;&gt;"Manager"),IF('F-TIV'!J32&lt;&gt;0,'F-TIV'!J32,"$0"),"")</f>
        <v/>
      </c>
      <c r="K35" s="1500" t="str">
        <f t="shared" si="1"/>
        <v/>
      </c>
      <c r="L35" s="1504" t="str">
        <f t="shared" si="2"/>
        <v/>
      </c>
      <c r="M35" s="1504" t="str">
        <f t="shared" si="3"/>
        <v/>
      </c>
      <c r="N35" s="1504" t="str">
        <f t="shared" si="4"/>
        <v/>
      </c>
      <c r="O35" s="1504" t="str">
        <f t="shared" si="5"/>
        <v/>
      </c>
      <c r="P35" s="1504" t="str">
        <f t="shared" si="6"/>
        <v/>
      </c>
      <c r="Q35" s="1504" t="str">
        <f t="shared" si="7"/>
        <v/>
      </c>
      <c r="R35" s="1504" t="str">
        <f t="shared" si="8"/>
        <v/>
      </c>
      <c r="S35" s="1504" t="str">
        <f t="shared" si="9"/>
        <v/>
      </c>
      <c r="T35" s="1504" t="str">
        <f t="shared" si="10"/>
        <v/>
      </c>
      <c r="U35" s="1504" t="str">
        <f t="shared" si="11"/>
        <v/>
      </c>
      <c r="V35" s="1503" t="str">
        <f>IF(AND(C35&lt;&gt;"",C35&lt;&gt;"Vacant",C35&lt;&gt;"Manager"),'F-TIV'!O32,"")</f>
        <v/>
      </c>
      <c r="W35" s="1502" t="str">
        <f>IF(AND(C35&lt;&gt;"",C35&lt;&gt;"Vacant",C35&lt;&gt;"Manager"),'F-TIV'!P32,"")</f>
        <v/>
      </c>
      <c r="X35" s="1498" t="str">
        <f t="shared" si="12"/>
        <v/>
      </c>
      <c r="Y35" s="1501" t="str">
        <f>IF('F-TIV'!G32&lt;&gt;"",'F-TIV'!G32,"")</f>
        <v/>
      </c>
      <c r="Z35" s="1500" t="str">
        <f>IF(AND(C35&lt;&gt;"",C35&lt;&gt;"Vacant",C35&lt;&gt;"Manager"),'F-TIV'!L32,"")</f>
        <v/>
      </c>
      <c r="AA35" s="1499" t="str">
        <f t="shared" si="13"/>
        <v/>
      </c>
      <c r="AB35" s="1498" t="str">
        <f t="shared" si="14"/>
        <v/>
      </c>
      <c r="AC35" s="1426"/>
      <c r="AD35" s="1508"/>
      <c r="AE35" s="1426"/>
      <c r="AG35" s="1497"/>
      <c r="AL35" s="1496"/>
      <c r="AN35" s="1496"/>
      <c r="AO35" s="1496"/>
      <c r="AP35" s="1496"/>
      <c r="AQ35" s="1496"/>
      <c r="AR35" s="1496"/>
    </row>
    <row r="36" spans="2:44" s="1442" customFormat="1" ht="11.25" customHeight="1">
      <c r="B36" s="1501" t="str">
        <f t="shared" si="0"/>
        <v>0</v>
      </c>
      <c r="C36" s="1506" t="str">
        <f>IF('F-TIV'!D33&lt;&gt;"",'F-TIV'!D33,"")</f>
        <v/>
      </c>
      <c r="D36" s="1501" t="str">
        <f>IF('F-TIV'!C33&lt;&gt;"",'F-TIV'!C33,"")</f>
        <v/>
      </c>
      <c r="E36" s="1502" t="str">
        <f>IF('F-TIV'!Q33&lt;&gt;"",'F-TIV'!Q33,"")</f>
        <v/>
      </c>
      <c r="F36" s="1502" t="str">
        <f>IF('F-TIV'!R33&lt;&gt;"",'F-TIV'!R33,"")</f>
        <v/>
      </c>
      <c r="G36" s="1505" t="str">
        <f>IF('F-TIV'!S33&lt;&gt;"",'F-TIV'!S33,"")</f>
        <v/>
      </c>
      <c r="H36" s="1501" t="str">
        <f>IF('F-TIV'!F33&lt;&gt;"",'F-TIV'!F33,"")</f>
        <v/>
      </c>
      <c r="I36" s="1500" t="str">
        <f>IF(AND(C36&lt;&gt;"",C36&lt;&gt;"Vacant",C36&lt;&gt;"Manager"),IF('F-TIV'!H33&lt;&gt;"",'F-TIV'!H33,""),"")</f>
        <v/>
      </c>
      <c r="J36" s="1500" t="str">
        <f>IF(AND(C36&lt;&gt;"",C36&lt;&gt;"Vacant",C36&lt;&gt;"Manager"),IF('F-TIV'!J33&lt;&gt;0,'F-TIV'!J33,"$0"),"")</f>
        <v/>
      </c>
      <c r="K36" s="1500" t="str">
        <f t="shared" si="1"/>
        <v/>
      </c>
      <c r="L36" s="1504" t="str">
        <f t="shared" si="2"/>
        <v/>
      </c>
      <c r="M36" s="1504" t="str">
        <f t="shared" si="3"/>
        <v/>
      </c>
      <c r="N36" s="1504" t="str">
        <f t="shared" si="4"/>
        <v/>
      </c>
      <c r="O36" s="1504" t="str">
        <f t="shared" si="5"/>
        <v/>
      </c>
      <c r="P36" s="1504" t="str">
        <f t="shared" si="6"/>
        <v/>
      </c>
      <c r="Q36" s="1504" t="str">
        <f t="shared" si="7"/>
        <v/>
      </c>
      <c r="R36" s="1504" t="str">
        <f t="shared" si="8"/>
        <v/>
      </c>
      <c r="S36" s="1504" t="str">
        <f t="shared" si="9"/>
        <v/>
      </c>
      <c r="T36" s="1504" t="str">
        <f t="shared" si="10"/>
        <v/>
      </c>
      <c r="U36" s="1504" t="str">
        <f t="shared" si="11"/>
        <v/>
      </c>
      <c r="V36" s="1503" t="str">
        <f>IF(AND(C36&lt;&gt;"",C36&lt;&gt;"Vacant",C36&lt;&gt;"Manager"),'F-TIV'!O33,"")</f>
        <v/>
      </c>
      <c r="W36" s="1502" t="str">
        <f>IF(AND(C36&lt;&gt;"",C36&lt;&gt;"Vacant",C36&lt;&gt;"Manager"),'F-TIV'!P33,"")</f>
        <v/>
      </c>
      <c r="X36" s="1498" t="str">
        <f t="shared" si="12"/>
        <v/>
      </c>
      <c r="Y36" s="1501" t="str">
        <f>IF('F-TIV'!G33&lt;&gt;"",'F-TIV'!G33,"")</f>
        <v/>
      </c>
      <c r="Z36" s="1500" t="str">
        <f>IF(AND(C36&lt;&gt;"",C36&lt;&gt;"Vacant",C36&lt;&gt;"Manager"),'F-TIV'!L33,"")</f>
        <v/>
      </c>
      <c r="AA36" s="1499" t="str">
        <f t="shared" si="13"/>
        <v/>
      </c>
      <c r="AB36" s="1498" t="str">
        <f t="shared" si="14"/>
        <v/>
      </c>
      <c r="AC36" s="1426"/>
      <c r="AD36" s="1426"/>
      <c r="AE36" s="1426"/>
      <c r="AG36" s="1497"/>
      <c r="AL36" s="1496"/>
      <c r="AN36" s="1496"/>
      <c r="AO36" s="1496"/>
      <c r="AP36" s="1496"/>
      <c r="AQ36" s="1496"/>
      <c r="AR36" s="1496"/>
    </row>
    <row r="37" spans="2:44" s="1442" customFormat="1" ht="11.25" customHeight="1">
      <c r="B37" s="1501" t="str">
        <f t="shared" si="0"/>
        <v>0</v>
      </c>
      <c r="C37" s="1506" t="str">
        <f>IF('F-TIV'!D34&lt;&gt;"",'F-TIV'!D34,"")</f>
        <v/>
      </c>
      <c r="D37" s="1501" t="str">
        <f>IF('F-TIV'!C34&lt;&gt;"",'F-TIV'!C34,"")</f>
        <v/>
      </c>
      <c r="E37" s="1502" t="str">
        <f>IF('F-TIV'!Q34&lt;&gt;"",'F-TIV'!Q34,"")</f>
        <v/>
      </c>
      <c r="F37" s="1502" t="str">
        <f>IF('F-TIV'!R34&lt;&gt;"",'F-TIV'!R34,"")</f>
        <v/>
      </c>
      <c r="G37" s="1505" t="str">
        <f>IF('F-TIV'!S34&lt;&gt;"",'F-TIV'!S34,"")</f>
        <v/>
      </c>
      <c r="H37" s="1501" t="str">
        <f>IF('F-TIV'!F34&lt;&gt;"",'F-TIV'!F34,"")</f>
        <v/>
      </c>
      <c r="I37" s="1500" t="str">
        <f>IF(AND(C37&lt;&gt;"",C37&lt;&gt;"Vacant",C37&lt;&gt;"Manager"),IF('F-TIV'!H34&lt;&gt;"",'F-TIV'!H34,""),"")</f>
        <v/>
      </c>
      <c r="J37" s="1500" t="str">
        <f>IF(AND(C37&lt;&gt;"",C37&lt;&gt;"Vacant",C37&lt;&gt;"Manager"),IF('F-TIV'!J34&lt;&gt;0,'F-TIV'!J34,"$0"),"")</f>
        <v/>
      </c>
      <c r="K37" s="1500" t="str">
        <f t="shared" si="1"/>
        <v/>
      </c>
      <c r="L37" s="1504" t="str">
        <f t="shared" si="2"/>
        <v/>
      </c>
      <c r="M37" s="1504" t="str">
        <f t="shared" si="3"/>
        <v/>
      </c>
      <c r="N37" s="1504" t="str">
        <f t="shared" si="4"/>
        <v/>
      </c>
      <c r="O37" s="1504" t="str">
        <f t="shared" si="5"/>
        <v/>
      </c>
      <c r="P37" s="1504" t="str">
        <f t="shared" si="6"/>
        <v/>
      </c>
      <c r="Q37" s="1504" t="str">
        <f t="shared" si="7"/>
        <v/>
      </c>
      <c r="R37" s="1504" t="str">
        <f t="shared" si="8"/>
        <v/>
      </c>
      <c r="S37" s="1504" t="str">
        <f t="shared" si="9"/>
        <v/>
      </c>
      <c r="T37" s="1504" t="str">
        <f t="shared" si="10"/>
        <v/>
      </c>
      <c r="U37" s="1504" t="str">
        <f t="shared" si="11"/>
        <v/>
      </c>
      <c r="V37" s="1503" t="str">
        <f>IF(AND(C37&lt;&gt;"",C37&lt;&gt;"Vacant",C37&lt;&gt;"Manager"),'F-TIV'!O34,"")</f>
        <v/>
      </c>
      <c r="W37" s="1502" t="str">
        <f>IF(AND(C37&lt;&gt;"",C37&lt;&gt;"Vacant",C37&lt;&gt;"Manager"),'F-TIV'!P34,"")</f>
        <v/>
      </c>
      <c r="X37" s="1498" t="str">
        <f t="shared" si="12"/>
        <v/>
      </c>
      <c r="Y37" s="1501" t="str">
        <f>IF('F-TIV'!G34&lt;&gt;"",'F-TIV'!G34,"")</f>
        <v/>
      </c>
      <c r="Z37" s="1500" t="str">
        <f>IF(AND(C37&lt;&gt;"",C37&lt;&gt;"Vacant",C37&lt;&gt;"Manager"),'F-TIV'!L34,"")</f>
        <v/>
      </c>
      <c r="AA37" s="1499" t="str">
        <f t="shared" si="13"/>
        <v/>
      </c>
      <c r="AB37" s="1498" t="str">
        <f t="shared" si="14"/>
        <v/>
      </c>
      <c r="AC37" s="1426"/>
      <c r="AD37" s="1426"/>
      <c r="AE37" s="1426"/>
      <c r="AG37" s="1497"/>
      <c r="AL37" s="1496"/>
      <c r="AN37" s="1496"/>
      <c r="AO37" s="1496"/>
      <c r="AP37" s="1496"/>
      <c r="AQ37" s="1496"/>
      <c r="AR37" s="1496"/>
    </row>
    <row r="38" spans="2:44" s="1442" customFormat="1" ht="11.25" customHeight="1">
      <c r="B38" s="1501" t="str">
        <f t="shared" si="0"/>
        <v>0</v>
      </c>
      <c r="C38" s="1506" t="str">
        <f>IF('F-TIV'!D35&lt;&gt;"",'F-TIV'!D35,"")</f>
        <v/>
      </c>
      <c r="D38" s="1501" t="str">
        <f>IF('F-TIV'!C35&lt;&gt;"",'F-TIV'!C35,"")</f>
        <v/>
      </c>
      <c r="E38" s="1502" t="str">
        <f>IF('F-TIV'!Q35&lt;&gt;"",'F-TIV'!Q35,"")</f>
        <v/>
      </c>
      <c r="F38" s="1502" t="str">
        <f>IF('F-TIV'!R35&lt;&gt;"",'F-TIV'!R35,"")</f>
        <v/>
      </c>
      <c r="G38" s="1505" t="str">
        <f>IF('F-TIV'!S35&lt;&gt;"",'F-TIV'!S35,"")</f>
        <v/>
      </c>
      <c r="H38" s="1501" t="str">
        <f>IF('F-TIV'!F35&lt;&gt;"",'F-TIV'!F35,"")</f>
        <v/>
      </c>
      <c r="I38" s="1500" t="str">
        <f>IF(AND(C38&lt;&gt;"",C38&lt;&gt;"Vacant",C38&lt;&gt;"Manager"),IF('F-TIV'!H35&lt;&gt;"",'F-TIV'!H35,""),"")</f>
        <v/>
      </c>
      <c r="J38" s="1500" t="str">
        <f>IF(AND(C38&lt;&gt;"",C38&lt;&gt;"Vacant",C38&lt;&gt;"Manager"),IF('F-TIV'!J35&lt;&gt;0,'F-TIV'!J35,"$0"),"")</f>
        <v/>
      </c>
      <c r="K38" s="1500" t="str">
        <f t="shared" si="1"/>
        <v/>
      </c>
      <c r="L38" s="1504" t="str">
        <f t="shared" si="2"/>
        <v/>
      </c>
      <c r="M38" s="1504" t="str">
        <f t="shared" si="3"/>
        <v/>
      </c>
      <c r="N38" s="1504" t="str">
        <f t="shared" si="4"/>
        <v/>
      </c>
      <c r="O38" s="1504" t="str">
        <f t="shared" si="5"/>
        <v/>
      </c>
      <c r="P38" s="1504" t="str">
        <f t="shared" si="6"/>
        <v/>
      </c>
      <c r="Q38" s="1504" t="str">
        <f t="shared" si="7"/>
        <v/>
      </c>
      <c r="R38" s="1504" t="str">
        <f t="shared" si="8"/>
        <v/>
      </c>
      <c r="S38" s="1504" t="str">
        <f t="shared" si="9"/>
        <v/>
      </c>
      <c r="T38" s="1504" t="str">
        <f t="shared" si="10"/>
        <v/>
      </c>
      <c r="U38" s="1504" t="str">
        <f t="shared" si="11"/>
        <v/>
      </c>
      <c r="V38" s="1503" t="str">
        <f>IF(AND(C38&lt;&gt;"",C38&lt;&gt;"Vacant",C38&lt;&gt;"Manager"),'F-TIV'!O35,"")</f>
        <v/>
      </c>
      <c r="W38" s="1502" t="str">
        <f>IF(AND(C38&lt;&gt;"",C38&lt;&gt;"Vacant",C38&lt;&gt;"Manager"),'F-TIV'!P35,"")</f>
        <v/>
      </c>
      <c r="X38" s="1498" t="str">
        <f t="shared" si="12"/>
        <v/>
      </c>
      <c r="Y38" s="1501" t="str">
        <f>IF('F-TIV'!G35&lt;&gt;"",'F-TIV'!G35,"")</f>
        <v/>
      </c>
      <c r="Z38" s="1500" t="str">
        <f>IF(AND(C38&lt;&gt;"",C38&lt;&gt;"Vacant",C38&lt;&gt;"Manager"),'F-TIV'!L35,"")</f>
        <v/>
      </c>
      <c r="AA38" s="1499" t="str">
        <f t="shared" si="13"/>
        <v/>
      </c>
      <c r="AB38" s="1498" t="str">
        <f t="shared" si="14"/>
        <v/>
      </c>
      <c r="AC38" s="1426"/>
      <c r="AD38" s="1426"/>
      <c r="AE38" s="1426"/>
      <c r="AG38" s="1497"/>
      <c r="AL38" s="1496"/>
      <c r="AN38" s="1496"/>
      <c r="AO38" s="1496"/>
      <c r="AP38" s="1496"/>
      <c r="AQ38" s="1496"/>
      <c r="AR38" s="1496"/>
    </row>
    <row r="39" spans="2:44" s="1442" customFormat="1" ht="11.25" customHeight="1">
      <c r="B39" s="1501" t="str">
        <f t="shared" si="0"/>
        <v>0</v>
      </c>
      <c r="C39" s="1506" t="str">
        <f>IF('F-TIV'!D36&lt;&gt;"",'F-TIV'!D36,"")</f>
        <v/>
      </c>
      <c r="D39" s="1501" t="str">
        <f>IF('F-TIV'!C36&lt;&gt;"",'F-TIV'!C36,"")</f>
        <v/>
      </c>
      <c r="E39" s="1502" t="str">
        <f>IF('F-TIV'!Q36&lt;&gt;"",'F-TIV'!Q36,"")</f>
        <v/>
      </c>
      <c r="F39" s="1502" t="str">
        <f>IF('F-TIV'!R36&lt;&gt;"",'F-TIV'!R36,"")</f>
        <v/>
      </c>
      <c r="G39" s="1505" t="str">
        <f>IF('F-TIV'!S36&lt;&gt;"",'F-TIV'!S36,"")</f>
        <v/>
      </c>
      <c r="H39" s="1501" t="str">
        <f>IF('F-TIV'!F36&lt;&gt;"",'F-TIV'!F36,"")</f>
        <v/>
      </c>
      <c r="I39" s="1500" t="str">
        <f>IF(AND(C39&lt;&gt;"",C39&lt;&gt;"Vacant",C39&lt;&gt;"Manager"),IF('F-TIV'!H36&lt;&gt;"",'F-TIV'!H36,""),"")</f>
        <v/>
      </c>
      <c r="J39" s="1500" t="str">
        <f>IF(AND(C39&lt;&gt;"",C39&lt;&gt;"Vacant",C39&lt;&gt;"Manager"),IF('F-TIV'!J36&lt;&gt;0,'F-TIV'!J36,"$0"),"")</f>
        <v/>
      </c>
      <c r="K39" s="1500" t="str">
        <f t="shared" si="1"/>
        <v/>
      </c>
      <c r="L39" s="1504" t="str">
        <f t="shared" si="2"/>
        <v/>
      </c>
      <c r="M39" s="1504" t="str">
        <f t="shared" si="3"/>
        <v/>
      </c>
      <c r="N39" s="1504" t="str">
        <f t="shared" si="4"/>
        <v/>
      </c>
      <c r="O39" s="1504" t="str">
        <f t="shared" si="5"/>
        <v/>
      </c>
      <c r="P39" s="1504" t="str">
        <f t="shared" si="6"/>
        <v/>
      </c>
      <c r="Q39" s="1504" t="str">
        <f t="shared" si="7"/>
        <v/>
      </c>
      <c r="R39" s="1504" t="str">
        <f t="shared" si="8"/>
        <v/>
      </c>
      <c r="S39" s="1504" t="str">
        <f t="shared" si="9"/>
        <v/>
      </c>
      <c r="T39" s="1504" t="str">
        <f t="shared" si="10"/>
        <v/>
      </c>
      <c r="U39" s="1504" t="str">
        <f t="shared" si="11"/>
        <v/>
      </c>
      <c r="V39" s="1503" t="str">
        <f>IF(AND(C39&lt;&gt;"",C39&lt;&gt;"Vacant",C39&lt;&gt;"Manager"),'F-TIV'!O36,"")</f>
        <v/>
      </c>
      <c r="W39" s="1502" t="str">
        <f>IF(AND(C39&lt;&gt;"",C39&lt;&gt;"Vacant",C39&lt;&gt;"Manager"),'F-TIV'!P36,"")</f>
        <v/>
      </c>
      <c r="X39" s="1498" t="str">
        <f t="shared" si="12"/>
        <v/>
      </c>
      <c r="Y39" s="1501" t="str">
        <f>IF('F-TIV'!G36&lt;&gt;"",'F-TIV'!G36,"")</f>
        <v/>
      </c>
      <c r="Z39" s="1500" t="str">
        <f>IF(AND(C39&lt;&gt;"",C39&lt;&gt;"Vacant",C39&lt;&gt;"Manager"),'F-TIV'!L36,"")</f>
        <v/>
      </c>
      <c r="AA39" s="1499" t="str">
        <f t="shared" si="13"/>
        <v/>
      </c>
      <c r="AB39" s="1498" t="str">
        <f t="shared" si="14"/>
        <v/>
      </c>
      <c r="AC39" s="1426"/>
      <c r="AD39" s="1426"/>
      <c r="AE39" s="1426"/>
      <c r="AG39" s="1497"/>
      <c r="AL39" s="1496"/>
      <c r="AN39" s="1496"/>
      <c r="AO39" s="1496"/>
      <c r="AP39" s="1496"/>
      <c r="AQ39" s="1496"/>
      <c r="AR39" s="1496"/>
    </row>
    <row r="40" spans="2:44" s="1442" customFormat="1" ht="11.25" customHeight="1">
      <c r="B40" s="1501" t="str">
        <f t="shared" si="0"/>
        <v>0</v>
      </c>
      <c r="C40" s="1506" t="str">
        <f>IF('F-TIV'!D37&lt;&gt;"",'F-TIV'!D37,"")</f>
        <v/>
      </c>
      <c r="D40" s="1501" t="str">
        <f>IF('F-TIV'!C37&lt;&gt;"",'F-TIV'!C37,"")</f>
        <v/>
      </c>
      <c r="E40" s="1502" t="str">
        <f>IF('F-TIV'!Q37&lt;&gt;"",'F-TIV'!Q37,"")</f>
        <v/>
      </c>
      <c r="F40" s="1502" t="str">
        <f>IF('F-TIV'!R37&lt;&gt;"",'F-TIV'!R37,"")</f>
        <v/>
      </c>
      <c r="G40" s="1505" t="str">
        <f>IF('F-TIV'!S37&lt;&gt;"",'F-TIV'!S37,"")</f>
        <v/>
      </c>
      <c r="H40" s="1501" t="str">
        <f>IF('F-TIV'!F37&lt;&gt;"",'F-TIV'!F37,"")</f>
        <v/>
      </c>
      <c r="I40" s="1500" t="str">
        <f>IF(AND(C40&lt;&gt;"",C40&lt;&gt;"Vacant",C40&lt;&gt;"Manager"),IF('F-TIV'!H37&lt;&gt;"",'F-TIV'!H37,""),"")</f>
        <v/>
      </c>
      <c r="J40" s="1500" t="str">
        <f>IF(AND(C40&lt;&gt;"",C40&lt;&gt;"Vacant",C40&lt;&gt;"Manager"),IF('F-TIV'!J37&lt;&gt;0,'F-TIV'!J37,"$0"),"")</f>
        <v/>
      </c>
      <c r="K40" s="1500" t="str">
        <f t="shared" si="1"/>
        <v/>
      </c>
      <c r="L40" s="1504" t="str">
        <f t="shared" si="2"/>
        <v/>
      </c>
      <c r="M40" s="1504" t="str">
        <f t="shared" si="3"/>
        <v/>
      </c>
      <c r="N40" s="1504" t="str">
        <f t="shared" si="4"/>
        <v/>
      </c>
      <c r="O40" s="1504" t="str">
        <f t="shared" si="5"/>
        <v/>
      </c>
      <c r="P40" s="1504" t="str">
        <f t="shared" si="6"/>
        <v/>
      </c>
      <c r="Q40" s="1504" t="str">
        <f t="shared" si="7"/>
        <v/>
      </c>
      <c r="R40" s="1504" t="str">
        <f t="shared" si="8"/>
        <v/>
      </c>
      <c r="S40" s="1504" t="str">
        <f t="shared" si="9"/>
        <v/>
      </c>
      <c r="T40" s="1504" t="str">
        <f t="shared" si="10"/>
        <v/>
      </c>
      <c r="U40" s="1504" t="str">
        <f t="shared" si="11"/>
        <v/>
      </c>
      <c r="V40" s="1503" t="str">
        <f>IF(AND(C40&lt;&gt;"",C40&lt;&gt;"Vacant",C40&lt;&gt;"Manager"),'F-TIV'!O37,"")</f>
        <v/>
      </c>
      <c r="W40" s="1502" t="str">
        <f>IF(AND(C40&lt;&gt;"",C40&lt;&gt;"Vacant",C40&lt;&gt;"Manager"),'F-TIV'!P37,"")</f>
        <v/>
      </c>
      <c r="X40" s="1498" t="str">
        <f t="shared" si="12"/>
        <v/>
      </c>
      <c r="Y40" s="1501" t="str">
        <f>IF('F-TIV'!G37&lt;&gt;"",'F-TIV'!G37,"")</f>
        <v/>
      </c>
      <c r="Z40" s="1500" t="str">
        <f>IF(AND(C40&lt;&gt;"",C40&lt;&gt;"Vacant",C40&lt;&gt;"Manager"),'F-TIV'!L37,"")</f>
        <v/>
      </c>
      <c r="AA40" s="1499" t="str">
        <f t="shared" si="13"/>
        <v/>
      </c>
      <c r="AB40" s="1498" t="str">
        <f t="shared" si="14"/>
        <v/>
      </c>
      <c r="AC40" s="1426"/>
      <c r="AD40" s="1426"/>
      <c r="AE40" s="1426"/>
      <c r="AG40" s="1497"/>
      <c r="AL40" s="1496"/>
      <c r="AN40" s="1496"/>
      <c r="AO40" s="1496"/>
      <c r="AP40" s="1496"/>
      <c r="AQ40" s="1496"/>
      <c r="AR40" s="1496"/>
    </row>
    <row r="41" spans="2:44" s="1442" customFormat="1" ht="11.25" customHeight="1">
      <c r="B41" s="1501" t="str">
        <f t="shared" si="0"/>
        <v>0</v>
      </c>
      <c r="C41" s="1506" t="str">
        <f>IF('F-TIV'!D38&lt;&gt;"",'F-TIV'!D38,"")</f>
        <v/>
      </c>
      <c r="D41" s="1501" t="str">
        <f>IF('F-TIV'!C38&lt;&gt;"",'F-TIV'!C38,"")</f>
        <v/>
      </c>
      <c r="E41" s="1502" t="str">
        <f>IF('F-TIV'!Q38&lt;&gt;"",'F-TIV'!Q38,"")</f>
        <v/>
      </c>
      <c r="F41" s="1502" t="str">
        <f>IF('F-TIV'!R38&lt;&gt;"",'F-TIV'!R38,"")</f>
        <v/>
      </c>
      <c r="G41" s="1505" t="str">
        <f>IF('F-TIV'!S38&lt;&gt;"",'F-TIV'!S38,"")</f>
        <v/>
      </c>
      <c r="H41" s="1501" t="str">
        <f>IF('F-TIV'!F38&lt;&gt;"",'F-TIV'!F38,"")</f>
        <v/>
      </c>
      <c r="I41" s="1500" t="str">
        <f>IF(AND(C41&lt;&gt;"",C41&lt;&gt;"Vacant",C41&lt;&gt;"Manager"),IF('F-TIV'!H38&lt;&gt;"",'F-TIV'!H38,""),"")</f>
        <v/>
      </c>
      <c r="J41" s="1500" t="str">
        <f>IF(AND(C41&lt;&gt;"",C41&lt;&gt;"Vacant",C41&lt;&gt;"Manager"),IF('F-TIV'!J38&lt;&gt;0,'F-TIV'!J38,"$0"),"")</f>
        <v/>
      </c>
      <c r="K41" s="1500" t="str">
        <f t="shared" si="1"/>
        <v/>
      </c>
      <c r="L41" s="1504" t="str">
        <f t="shared" si="2"/>
        <v/>
      </c>
      <c r="M41" s="1504" t="str">
        <f t="shared" si="3"/>
        <v/>
      </c>
      <c r="N41" s="1504" t="str">
        <f t="shared" si="4"/>
        <v/>
      </c>
      <c r="O41" s="1504" t="str">
        <f t="shared" si="5"/>
        <v/>
      </c>
      <c r="P41" s="1504" t="str">
        <f t="shared" si="6"/>
        <v/>
      </c>
      <c r="Q41" s="1504" t="str">
        <f t="shared" si="7"/>
        <v/>
      </c>
      <c r="R41" s="1504" t="str">
        <f t="shared" si="8"/>
        <v/>
      </c>
      <c r="S41" s="1504" t="str">
        <f t="shared" si="9"/>
        <v/>
      </c>
      <c r="T41" s="1504" t="str">
        <f t="shared" si="10"/>
        <v/>
      </c>
      <c r="U41" s="1504" t="str">
        <f t="shared" si="11"/>
        <v/>
      </c>
      <c r="V41" s="1503" t="str">
        <f>IF(AND(C41&lt;&gt;"",C41&lt;&gt;"Vacant",C41&lt;&gt;"Manager"),'F-TIV'!O38,"")</f>
        <v/>
      </c>
      <c r="W41" s="1502" t="str">
        <f>IF(AND(C41&lt;&gt;"",C41&lt;&gt;"Vacant",C41&lt;&gt;"Manager"),'F-TIV'!P38,"")</f>
        <v/>
      </c>
      <c r="X41" s="1498" t="str">
        <f t="shared" si="12"/>
        <v/>
      </c>
      <c r="Y41" s="1501" t="str">
        <f>IF('F-TIV'!G38&lt;&gt;"",'F-TIV'!G38,"")</f>
        <v/>
      </c>
      <c r="Z41" s="1500" t="str">
        <f>IF(AND(C41&lt;&gt;"",C41&lt;&gt;"Vacant",C41&lt;&gt;"Manager"),'F-TIV'!L38,"")</f>
        <v/>
      </c>
      <c r="AA41" s="1499" t="str">
        <f t="shared" si="13"/>
        <v/>
      </c>
      <c r="AB41" s="1498" t="str">
        <f t="shared" si="14"/>
        <v/>
      </c>
      <c r="AC41" s="1426"/>
      <c r="AD41" s="1426"/>
      <c r="AE41" s="1426"/>
      <c r="AG41" s="1497"/>
      <c r="AL41" s="1496"/>
      <c r="AN41" s="1496"/>
      <c r="AO41" s="1496"/>
      <c r="AP41" s="1496"/>
      <c r="AQ41" s="1496"/>
      <c r="AR41" s="1496"/>
    </row>
    <row r="42" spans="2:44" s="1442" customFormat="1" ht="11.25" customHeight="1">
      <c r="B42" s="1501" t="str">
        <f t="shared" si="0"/>
        <v>0</v>
      </c>
      <c r="C42" s="1506" t="str">
        <f>IF('F-TIV'!D39&lt;&gt;"",'F-TIV'!D39,"")</f>
        <v/>
      </c>
      <c r="D42" s="1501" t="str">
        <f>IF('F-TIV'!C39&lt;&gt;"",'F-TIV'!C39,"")</f>
        <v/>
      </c>
      <c r="E42" s="1502" t="str">
        <f>IF('F-TIV'!Q39&lt;&gt;"",'F-TIV'!Q39,"")</f>
        <v/>
      </c>
      <c r="F42" s="1502" t="str">
        <f>IF('F-TIV'!R39&lt;&gt;"",'F-TIV'!R39,"")</f>
        <v/>
      </c>
      <c r="G42" s="1505" t="str">
        <f>IF('F-TIV'!S39&lt;&gt;"",'F-TIV'!S39,"")</f>
        <v/>
      </c>
      <c r="H42" s="1501" t="str">
        <f>IF('F-TIV'!F39&lt;&gt;"",'F-TIV'!F39,"")</f>
        <v/>
      </c>
      <c r="I42" s="1500" t="str">
        <f>IF(AND(C42&lt;&gt;"",C42&lt;&gt;"Vacant",C42&lt;&gt;"Manager"),IF('F-TIV'!H39&lt;&gt;"",'F-TIV'!H39,""),"")</f>
        <v/>
      </c>
      <c r="J42" s="1500" t="str">
        <f>IF(AND(C42&lt;&gt;"",C42&lt;&gt;"Vacant",C42&lt;&gt;"Manager"),IF('F-TIV'!J39&lt;&gt;0,'F-TIV'!J39,"$0"),"")</f>
        <v/>
      </c>
      <c r="K42" s="1500" t="str">
        <f t="shared" si="1"/>
        <v/>
      </c>
      <c r="L42" s="1504" t="str">
        <f t="shared" si="2"/>
        <v/>
      </c>
      <c r="M42" s="1504" t="str">
        <f t="shared" si="3"/>
        <v/>
      </c>
      <c r="N42" s="1504" t="str">
        <f t="shared" si="4"/>
        <v/>
      </c>
      <c r="O42" s="1504" t="str">
        <f t="shared" si="5"/>
        <v/>
      </c>
      <c r="P42" s="1504" t="str">
        <f t="shared" si="6"/>
        <v/>
      </c>
      <c r="Q42" s="1504" t="str">
        <f t="shared" si="7"/>
        <v/>
      </c>
      <c r="R42" s="1504" t="str">
        <f t="shared" si="8"/>
        <v/>
      </c>
      <c r="S42" s="1504" t="str">
        <f t="shared" si="9"/>
        <v/>
      </c>
      <c r="T42" s="1504" t="str">
        <f t="shared" si="10"/>
        <v/>
      </c>
      <c r="U42" s="1504" t="str">
        <f t="shared" si="11"/>
        <v/>
      </c>
      <c r="V42" s="1503" t="str">
        <f>IF(AND(C42&lt;&gt;"",C42&lt;&gt;"Vacant",C42&lt;&gt;"Manager"),'F-TIV'!O39,"")</f>
        <v/>
      </c>
      <c r="W42" s="1502" t="str">
        <f>IF(AND(C42&lt;&gt;"",C42&lt;&gt;"Vacant",C42&lt;&gt;"Manager"),'F-TIV'!P39,"")</f>
        <v/>
      </c>
      <c r="X42" s="1498" t="str">
        <f t="shared" si="12"/>
        <v/>
      </c>
      <c r="Y42" s="1501" t="str">
        <f>IF('F-TIV'!G39&lt;&gt;"",'F-TIV'!G39,"")</f>
        <v/>
      </c>
      <c r="Z42" s="1500" t="str">
        <f>IF(AND(C42&lt;&gt;"",C42&lt;&gt;"Vacant",C42&lt;&gt;"Manager"),'F-TIV'!L39,"")</f>
        <v/>
      </c>
      <c r="AA42" s="1499" t="str">
        <f t="shared" si="13"/>
        <v/>
      </c>
      <c r="AB42" s="1498" t="str">
        <f t="shared" si="14"/>
        <v/>
      </c>
      <c r="AC42" s="1426"/>
      <c r="AD42" s="1426"/>
      <c r="AE42" s="1426"/>
      <c r="AG42" s="1497"/>
      <c r="AL42" s="1496"/>
      <c r="AN42" s="1496"/>
      <c r="AO42" s="1496"/>
      <c r="AP42" s="1496"/>
      <c r="AQ42" s="1496"/>
      <c r="AR42" s="1496"/>
    </row>
    <row r="43" spans="2:44" s="1442" customFormat="1" ht="11.25" customHeight="1">
      <c r="B43" s="1501" t="str">
        <f t="shared" si="0"/>
        <v>0</v>
      </c>
      <c r="C43" s="1506" t="str">
        <f>IF('F-TIV'!D40&lt;&gt;"",'F-TIV'!D40,"")</f>
        <v/>
      </c>
      <c r="D43" s="1501" t="str">
        <f>IF('F-TIV'!C40&lt;&gt;"",'F-TIV'!C40,"")</f>
        <v/>
      </c>
      <c r="E43" s="1502" t="str">
        <f>IF('F-TIV'!Q40&lt;&gt;"",'F-TIV'!Q40,"")</f>
        <v/>
      </c>
      <c r="F43" s="1502" t="str">
        <f>IF('F-TIV'!R40&lt;&gt;"",'F-TIV'!R40,"")</f>
        <v/>
      </c>
      <c r="G43" s="1505" t="str">
        <f>IF('F-TIV'!S40&lt;&gt;"",'F-TIV'!S40,"")</f>
        <v/>
      </c>
      <c r="H43" s="1501" t="str">
        <f>IF('F-TIV'!F40&lt;&gt;"",'F-TIV'!F40,"")</f>
        <v/>
      </c>
      <c r="I43" s="1500" t="str">
        <f>IF(AND(C43&lt;&gt;"",C43&lt;&gt;"Vacant",C43&lt;&gt;"Manager"),IF('F-TIV'!H40&lt;&gt;"",'F-TIV'!H40,""),"")</f>
        <v/>
      </c>
      <c r="J43" s="1500" t="str">
        <f>IF(AND(C43&lt;&gt;"",C43&lt;&gt;"Vacant",C43&lt;&gt;"Manager"),IF('F-TIV'!J40&lt;&gt;0,'F-TIV'!J40,"$0"),"")</f>
        <v/>
      </c>
      <c r="K43" s="1500" t="str">
        <f t="shared" si="1"/>
        <v/>
      </c>
      <c r="L43" s="1504" t="str">
        <f t="shared" si="2"/>
        <v/>
      </c>
      <c r="M43" s="1504" t="str">
        <f t="shared" si="3"/>
        <v/>
      </c>
      <c r="N43" s="1504" t="str">
        <f t="shared" si="4"/>
        <v/>
      </c>
      <c r="O43" s="1504" t="str">
        <f t="shared" si="5"/>
        <v/>
      </c>
      <c r="P43" s="1504" t="str">
        <f t="shared" si="6"/>
        <v/>
      </c>
      <c r="Q43" s="1504" t="str">
        <f t="shared" si="7"/>
        <v/>
      </c>
      <c r="R43" s="1504" t="str">
        <f t="shared" si="8"/>
        <v/>
      </c>
      <c r="S43" s="1504" t="str">
        <f t="shared" si="9"/>
        <v/>
      </c>
      <c r="T43" s="1504" t="str">
        <f t="shared" si="10"/>
        <v/>
      </c>
      <c r="U43" s="1504" t="str">
        <f t="shared" si="11"/>
        <v/>
      </c>
      <c r="V43" s="1503" t="str">
        <f>IF(AND(C43&lt;&gt;"",C43&lt;&gt;"Vacant",C43&lt;&gt;"Manager"),'F-TIV'!O40,"")</f>
        <v/>
      </c>
      <c r="W43" s="1502" t="str">
        <f>IF(AND(C43&lt;&gt;"",C43&lt;&gt;"Vacant",C43&lt;&gt;"Manager"),'F-TIV'!P40,"")</f>
        <v/>
      </c>
      <c r="X43" s="1498" t="str">
        <f t="shared" si="12"/>
        <v/>
      </c>
      <c r="Y43" s="1501" t="str">
        <f>IF('F-TIV'!G40&lt;&gt;"",'F-TIV'!G40,"")</f>
        <v/>
      </c>
      <c r="Z43" s="1500" t="str">
        <f>IF(AND(C43&lt;&gt;"",C43&lt;&gt;"Vacant",C43&lt;&gt;"Manager"),'F-TIV'!L40,"")</f>
        <v/>
      </c>
      <c r="AA43" s="1499" t="str">
        <f t="shared" si="13"/>
        <v/>
      </c>
      <c r="AB43" s="1498" t="str">
        <f t="shared" si="14"/>
        <v/>
      </c>
      <c r="AC43" s="1426"/>
      <c r="AD43" s="1426"/>
      <c r="AE43" s="1426"/>
      <c r="AG43" s="1497"/>
      <c r="AL43" s="1496"/>
      <c r="AN43" s="1496"/>
      <c r="AO43" s="1496"/>
      <c r="AP43" s="1496"/>
      <c r="AQ43" s="1496"/>
      <c r="AR43" s="1496"/>
    </row>
    <row r="44" spans="2:44" s="1442" customFormat="1" ht="11.25" customHeight="1">
      <c r="B44" s="1501" t="str">
        <f t="shared" si="0"/>
        <v>0</v>
      </c>
      <c r="C44" s="1506" t="str">
        <f>IF('F-TIV'!D41&lt;&gt;"",'F-TIV'!D41,"")</f>
        <v/>
      </c>
      <c r="D44" s="1501" t="str">
        <f>IF('F-TIV'!C41&lt;&gt;"",'F-TIV'!C41,"")</f>
        <v/>
      </c>
      <c r="E44" s="1502" t="str">
        <f>IF('F-TIV'!Q41&lt;&gt;"",'F-TIV'!Q41,"")</f>
        <v/>
      </c>
      <c r="F44" s="1502" t="str">
        <f>IF('F-TIV'!R41&lt;&gt;"",'F-TIV'!R41,"")</f>
        <v/>
      </c>
      <c r="G44" s="1505" t="str">
        <f>IF('F-TIV'!S41&lt;&gt;"",'F-TIV'!S41,"")</f>
        <v/>
      </c>
      <c r="H44" s="1501" t="str">
        <f>IF('F-TIV'!F41&lt;&gt;"",'F-TIV'!F41,"")</f>
        <v/>
      </c>
      <c r="I44" s="1500" t="str">
        <f>IF(AND(C44&lt;&gt;"",C44&lt;&gt;"Vacant",C44&lt;&gt;"Manager"),IF('F-TIV'!H41&lt;&gt;"",'F-TIV'!H41,""),"")</f>
        <v/>
      </c>
      <c r="J44" s="1500" t="str">
        <f>IF(AND(C44&lt;&gt;"",C44&lt;&gt;"Vacant",C44&lt;&gt;"Manager"),IF('F-TIV'!J41&lt;&gt;0,'F-TIV'!J41,"$0"),"")</f>
        <v/>
      </c>
      <c r="K44" s="1500" t="str">
        <f t="shared" si="1"/>
        <v/>
      </c>
      <c r="L44" s="1504" t="str">
        <f t="shared" si="2"/>
        <v/>
      </c>
      <c r="M44" s="1504" t="str">
        <f t="shared" si="3"/>
        <v/>
      </c>
      <c r="N44" s="1504" t="str">
        <f t="shared" si="4"/>
        <v/>
      </c>
      <c r="O44" s="1504" t="str">
        <f t="shared" si="5"/>
        <v/>
      </c>
      <c r="P44" s="1504" t="str">
        <f t="shared" si="6"/>
        <v/>
      </c>
      <c r="Q44" s="1504" t="str">
        <f t="shared" si="7"/>
        <v/>
      </c>
      <c r="R44" s="1504" t="str">
        <f t="shared" si="8"/>
        <v/>
      </c>
      <c r="S44" s="1504" t="str">
        <f t="shared" si="9"/>
        <v/>
      </c>
      <c r="T44" s="1504" t="str">
        <f t="shared" si="10"/>
        <v/>
      </c>
      <c r="U44" s="1504" t="str">
        <f t="shared" si="11"/>
        <v/>
      </c>
      <c r="V44" s="1503" t="str">
        <f>IF(AND(C44&lt;&gt;"",C44&lt;&gt;"Vacant",C44&lt;&gt;"Manager"),'F-TIV'!O41,"")</f>
        <v/>
      </c>
      <c r="W44" s="1502" t="str">
        <f>IF(AND(C44&lt;&gt;"",C44&lt;&gt;"Vacant",C44&lt;&gt;"Manager"),'F-TIV'!P41,"")</f>
        <v/>
      </c>
      <c r="X44" s="1498" t="str">
        <f t="shared" si="12"/>
        <v/>
      </c>
      <c r="Y44" s="1501" t="str">
        <f>IF('F-TIV'!G41&lt;&gt;"",'F-TIV'!G41,"")</f>
        <v/>
      </c>
      <c r="Z44" s="1500" t="str">
        <f>IF(AND(C44&lt;&gt;"",C44&lt;&gt;"Vacant",C44&lt;&gt;"Manager"),'F-TIV'!L41,"")</f>
        <v/>
      </c>
      <c r="AA44" s="1499" t="str">
        <f t="shared" si="13"/>
        <v/>
      </c>
      <c r="AB44" s="1498" t="str">
        <f t="shared" si="14"/>
        <v/>
      </c>
      <c r="AC44" s="1426"/>
      <c r="AD44" s="1426"/>
      <c r="AE44" s="1426"/>
      <c r="AG44" s="1497"/>
      <c r="AL44" s="1496"/>
      <c r="AN44" s="1496"/>
      <c r="AO44" s="1496"/>
      <c r="AP44" s="1496"/>
      <c r="AQ44" s="1496"/>
      <c r="AR44" s="1496"/>
    </row>
    <row r="45" spans="2:44" s="1442" customFormat="1" ht="11.25" customHeight="1">
      <c r="B45" s="1501" t="str">
        <f t="shared" si="0"/>
        <v>0</v>
      </c>
      <c r="C45" s="1506" t="str">
        <f>IF('F-TIV'!D42&lt;&gt;"",'F-TIV'!D42,"")</f>
        <v/>
      </c>
      <c r="D45" s="1501" t="str">
        <f>IF('F-TIV'!C42&lt;&gt;"",'F-TIV'!C42,"")</f>
        <v/>
      </c>
      <c r="E45" s="1502" t="str">
        <f>IF('F-TIV'!Q42&lt;&gt;"",'F-TIV'!Q42,"")</f>
        <v/>
      </c>
      <c r="F45" s="1502" t="str">
        <f>IF('F-TIV'!R42&lt;&gt;"",'F-TIV'!R42,"")</f>
        <v/>
      </c>
      <c r="G45" s="1505" t="str">
        <f>IF('F-TIV'!S42&lt;&gt;"",'F-TIV'!S42,"")</f>
        <v/>
      </c>
      <c r="H45" s="1501" t="str">
        <f>IF('F-TIV'!F42&lt;&gt;"",'F-TIV'!F42,"")</f>
        <v/>
      </c>
      <c r="I45" s="1500" t="str">
        <f>IF(AND(C45&lt;&gt;"",C45&lt;&gt;"Vacant",C45&lt;&gt;"Manager"),IF('F-TIV'!H42&lt;&gt;"",'F-TIV'!H42,""),"")</f>
        <v/>
      </c>
      <c r="J45" s="1500" t="str">
        <f>IF(AND(C45&lt;&gt;"",C45&lt;&gt;"Vacant",C45&lt;&gt;"Manager"),IF('F-TIV'!J42&lt;&gt;0,'F-TIV'!J42,"$0"),"")</f>
        <v/>
      </c>
      <c r="K45" s="1500" t="str">
        <f t="shared" si="1"/>
        <v/>
      </c>
      <c r="L45" s="1504" t="str">
        <f t="shared" si="2"/>
        <v/>
      </c>
      <c r="M45" s="1504" t="str">
        <f t="shared" si="3"/>
        <v/>
      </c>
      <c r="N45" s="1504" t="str">
        <f t="shared" si="4"/>
        <v/>
      </c>
      <c r="O45" s="1504" t="str">
        <f t="shared" si="5"/>
        <v/>
      </c>
      <c r="P45" s="1504" t="str">
        <f t="shared" si="6"/>
        <v/>
      </c>
      <c r="Q45" s="1504" t="str">
        <f t="shared" si="7"/>
        <v/>
      </c>
      <c r="R45" s="1504" t="str">
        <f t="shared" si="8"/>
        <v/>
      </c>
      <c r="S45" s="1504" t="str">
        <f t="shared" si="9"/>
        <v/>
      </c>
      <c r="T45" s="1504" t="str">
        <f t="shared" si="10"/>
        <v/>
      </c>
      <c r="U45" s="1504" t="str">
        <f t="shared" si="11"/>
        <v/>
      </c>
      <c r="V45" s="1503" t="str">
        <f>IF(AND(C45&lt;&gt;"",C45&lt;&gt;"Vacant",C45&lt;&gt;"Manager"),'F-TIV'!O42,"")</f>
        <v/>
      </c>
      <c r="W45" s="1502" t="str">
        <f>IF(AND(C45&lt;&gt;"",C45&lt;&gt;"Vacant",C45&lt;&gt;"Manager"),'F-TIV'!P42,"")</f>
        <v/>
      </c>
      <c r="X45" s="1498" t="str">
        <f t="shared" si="12"/>
        <v/>
      </c>
      <c r="Y45" s="1501" t="str">
        <f>IF('F-TIV'!G42&lt;&gt;"",'F-TIV'!G42,"")</f>
        <v/>
      </c>
      <c r="Z45" s="1500" t="str">
        <f>IF(AND(C45&lt;&gt;"",C45&lt;&gt;"Vacant",C45&lt;&gt;"Manager"),'F-TIV'!L42,"")</f>
        <v/>
      </c>
      <c r="AA45" s="1499" t="str">
        <f t="shared" si="13"/>
        <v/>
      </c>
      <c r="AB45" s="1498" t="str">
        <f t="shared" si="14"/>
        <v/>
      </c>
      <c r="AC45" s="1426"/>
      <c r="AD45" s="1426"/>
      <c r="AE45" s="1426"/>
      <c r="AG45" s="1497"/>
      <c r="AL45" s="1496"/>
      <c r="AN45" s="1496"/>
      <c r="AO45" s="1496"/>
      <c r="AP45" s="1496"/>
      <c r="AQ45" s="1496"/>
      <c r="AR45" s="1496"/>
    </row>
    <row r="46" spans="2:44" s="1442" customFormat="1" ht="11.25" customHeight="1">
      <c r="B46" s="1501" t="str">
        <f t="shared" si="0"/>
        <v>0</v>
      </c>
      <c r="C46" s="1506" t="str">
        <f>IF('F-TIV'!D43&lt;&gt;"",'F-TIV'!D43,"")</f>
        <v/>
      </c>
      <c r="D46" s="1501" t="str">
        <f>IF('F-TIV'!C43&lt;&gt;"",'F-TIV'!C43,"")</f>
        <v/>
      </c>
      <c r="E46" s="1502" t="str">
        <f>IF('F-TIV'!Q43&lt;&gt;"",'F-TIV'!Q43,"")</f>
        <v/>
      </c>
      <c r="F46" s="1502" t="str">
        <f>IF('F-TIV'!R43&lt;&gt;"",'F-TIV'!R43,"")</f>
        <v/>
      </c>
      <c r="G46" s="1505" t="str">
        <f>IF('F-TIV'!S43&lt;&gt;"",'F-TIV'!S43,"")</f>
        <v/>
      </c>
      <c r="H46" s="1501" t="str">
        <f>IF('F-TIV'!F43&lt;&gt;"",'F-TIV'!F43,"")</f>
        <v/>
      </c>
      <c r="I46" s="1500" t="str">
        <f>IF(AND(C46&lt;&gt;"",C46&lt;&gt;"Vacant",C46&lt;&gt;"Manager"),IF('F-TIV'!H43&lt;&gt;"",'F-TIV'!H43,""),"")</f>
        <v/>
      </c>
      <c r="J46" s="1500" t="str">
        <f>IF(AND(C46&lt;&gt;"",C46&lt;&gt;"Vacant",C46&lt;&gt;"Manager"),IF('F-TIV'!J43&lt;&gt;0,'F-TIV'!J43,"$0"),"")</f>
        <v/>
      </c>
      <c r="K46" s="1500" t="str">
        <f t="shared" si="1"/>
        <v/>
      </c>
      <c r="L46" s="1504" t="str">
        <f t="shared" si="2"/>
        <v/>
      </c>
      <c r="M46" s="1504" t="str">
        <f t="shared" si="3"/>
        <v/>
      </c>
      <c r="N46" s="1504" t="str">
        <f t="shared" si="4"/>
        <v/>
      </c>
      <c r="O46" s="1504" t="str">
        <f t="shared" si="5"/>
        <v/>
      </c>
      <c r="P46" s="1504" t="str">
        <f t="shared" si="6"/>
        <v/>
      </c>
      <c r="Q46" s="1504" t="str">
        <f t="shared" si="7"/>
        <v/>
      </c>
      <c r="R46" s="1504" t="str">
        <f t="shared" si="8"/>
        <v/>
      </c>
      <c r="S46" s="1504" t="str">
        <f t="shared" si="9"/>
        <v/>
      </c>
      <c r="T46" s="1504" t="str">
        <f t="shared" si="10"/>
        <v/>
      </c>
      <c r="U46" s="1504" t="str">
        <f t="shared" si="11"/>
        <v/>
      </c>
      <c r="V46" s="1503" t="str">
        <f>IF(AND(C46&lt;&gt;"",C46&lt;&gt;"Vacant",C46&lt;&gt;"Manager"),'F-TIV'!O43,"")</f>
        <v/>
      </c>
      <c r="W46" s="1502" t="str">
        <f>IF(AND(C46&lt;&gt;"",C46&lt;&gt;"Vacant",C46&lt;&gt;"Manager"),'F-TIV'!P43,"")</f>
        <v/>
      </c>
      <c r="X46" s="1498" t="str">
        <f t="shared" si="12"/>
        <v/>
      </c>
      <c r="Y46" s="1501" t="str">
        <f>IF('F-TIV'!G43&lt;&gt;"",'F-TIV'!G43,"")</f>
        <v/>
      </c>
      <c r="Z46" s="1500" t="str">
        <f>IF(AND(C46&lt;&gt;"",C46&lt;&gt;"Vacant",C46&lt;&gt;"Manager"),'F-TIV'!L43,"")</f>
        <v/>
      </c>
      <c r="AA46" s="1499" t="str">
        <f t="shared" si="13"/>
        <v/>
      </c>
      <c r="AB46" s="1498" t="str">
        <f t="shared" si="14"/>
        <v/>
      </c>
      <c r="AC46" s="1426"/>
      <c r="AD46" s="1426"/>
      <c r="AE46" s="1426"/>
      <c r="AG46" s="1497"/>
      <c r="AL46" s="1496"/>
      <c r="AN46" s="1496"/>
      <c r="AO46" s="1496"/>
      <c r="AP46" s="1496"/>
      <c r="AQ46" s="1496"/>
      <c r="AR46" s="1496"/>
    </row>
    <row r="47" spans="2:44" s="1442" customFormat="1" ht="11.25" customHeight="1">
      <c r="B47" s="1501" t="str">
        <f t="shared" si="0"/>
        <v>0</v>
      </c>
      <c r="C47" s="1506" t="str">
        <f>IF('F-TIV'!D44&lt;&gt;"",'F-TIV'!D44,"")</f>
        <v/>
      </c>
      <c r="D47" s="1501" t="str">
        <f>IF('F-TIV'!C44&lt;&gt;"",'F-TIV'!C44,"")</f>
        <v/>
      </c>
      <c r="E47" s="1502" t="str">
        <f>IF('F-TIV'!Q44&lt;&gt;"",'F-TIV'!Q44,"")</f>
        <v/>
      </c>
      <c r="F47" s="1502" t="str">
        <f>IF('F-TIV'!R44&lt;&gt;"",'F-TIV'!R44,"")</f>
        <v/>
      </c>
      <c r="G47" s="1505" t="str">
        <f>IF('F-TIV'!S44&lt;&gt;"",'F-TIV'!S44,"")</f>
        <v/>
      </c>
      <c r="H47" s="1501" t="str">
        <f>IF('F-TIV'!F44&lt;&gt;"",'F-TIV'!F44,"")</f>
        <v/>
      </c>
      <c r="I47" s="1500" t="str">
        <f>IF(AND(C47&lt;&gt;"",C47&lt;&gt;"Vacant",C47&lt;&gt;"Manager"),IF('F-TIV'!H44&lt;&gt;"",'F-TIV'!H44,""),"")</f>
        <v/>
      </c>
      <c r="J47" s="1500" t="str">
        <f>IF(AND(C47&lt;&gt;"",C47&lt;&gt;"Vacant",C47&lt;&gt;"Manager"),IF('F-TIV'!J44&lt;&gt;0,'F-TIV'!J44,"$0"),"")</f>
        <v/>
      </c>
      <c r="K47" s="1500" t="str">
        <f t="shared" si="1"/>
        <v/>
      </c>
      <c r="L47" s="1504" t="str">
        <f t="shared" si="2"/>
        <v/>
      </c>
      <c r="M47" s="1504" t="str">
        <f t="shared" si="3"/>
        <v/>
      </c>
      <c r="N47" s="1504" t="str">
        <f t="shared" si="4"/>
        <v/>
      </c>
      <c r="O47" s="1504" t="str">
        <f t="shared" si="5"/>
        <v/>
      </c>
      <c r="P47" s="1504" t="str">
        <f t="shared" si="6"/>
        <v/>
      </c>
      <c r="Q47" s="1504" t="str">
        <f t="shared" si="7"/>
        <v/>
      </c>
      <c r="R47" s="1504" t="str">
        <f t="shared" si="8"/>
        <v/>
      </c>
      <c r="S47" s="1504" t="str">
        <f t="shared" si="9"/>
        <v/>
      </c>
      <c r="T47" s="1504" t="str">
        <f t="shared" si="10"/>
        <v/>
      </c>
      <c r="U47" s="1504" t="str">
        <f t="shared" si="11"/>
        <v/>
      </c>
      <c r="V47" s="1503" t="str">
        <f>IF(AND(C47&lt;&gt;"",C47&lt;&gt;"Vacant",C47&lt;&gt;"Manager"),'F-TIV'!O44,"")</f>
        <v/>
      </c>
      <c r="W47" s="1502" t="str">
        <f>IF(AND(C47&lt;&gt;"",C47&lt;&gt;"Vacant",C47&lt;&gt;"Manager"),'F-TIV'!P44,"")</f>
        <v/>
      </c>
      <c r="X47" s="1498" t="str">
        <f t="shared" si="12"/>
        <v/>
      </c>
      <c r="Y47" s="1501" t="str">
        <f>IF('F-TIV'!G44&lt;&gt;"",'F-TIV'!G44,"")</f>
        <v/>
      </c>
      <c r="Z47" s="1500" t="str">
        <f>IF(AND(C47&lt;&gt;"",C47&lt;&gt;"Vacant",C47&lt;&gt;"Manager"),'F-TIV'!L44,"")</f>
        <v/>
      </c>
      <c r="AA47" s="1499" t="str">
        <f t="shared" si="13"/>
        <v/>
      </c>
      <c r="AB47" s="1498" t="str">
        <f t="shared" si="14"/>
        <v/>
      </c>
      <c r="AC47" s="1426"/>
      <c r="AD47" s="1426"/>
      <c r="AE47" s="1426"/>
      <c r="AG47" s="1497"/>
      <c r="AL47" s="1496"/>
      <c r="AN47" s="1496"/>
      <c r="AO47" s="1496"/>
      <c r="AP47" s="1496"/>
      <c r="AQ47" s="1496"/>
      <c r="AR47" s="1496"/>
    </row>
    <row r="48" spans="2:44" s="1442" customFormat="1" ht="11.25" customHeight="1">
      <c r="B48" s="1501" t="str">
        <f t="shared" si="0"/>
        <v>0</v>
      </c>
      <c r="C48" s="1506" t="str">
        <f>IF('F-TIV'!D45&lt;&gt;"",'F-TIV'!D45,"")</f>
        <v/>
      </c>
      <c r="D48" s="1501" t="str">
        <f>IF('F-TIV'!C45&lt;&gt;"",'F-TIV'!C45,"")</f>
        <v/>
      </c>
      <c r="E48" s="1502" t="str">
        <f>IF('F-TIV'!Q45&lt;&gt;"",'F-TIV'!Q45,"")</f>
        <v/>
      </c>
      <c r="F48" s="1502" t="str">
        <f>IF('F-TIV'!R45&lt;&gt;"",'F-TIV'!R45,"")</f>
        <v/>
      </c>
      <c r="G48" s="1505" t="str">
        <f>IF('F-TIV'!S45&lt;&gt;"",'F-TIV'!S45,"")</f>
        <v/>
      </c>
      <c r="H48" s="1501" t="str">
        <f>IF('F-TIV'!F45&lt;&gt;"",'F-TIV'!F45,"")</f>
        <v/>
      </c>
      <c r="I48" s="1500" t="str">
        <f>IF(AND(C48&lt;&gt;"",C48&lt;&gt;"Vacant",C48&lt;&gt;"Manager"),IF('F-TIV'!H45&lt;&gt;"",'F-TIV'!H45,""),"")</f>
        <v/>
      </c>
      <c r="J48" s="1500" t="str">
        <f>IF(AND(C48&lt;&gt;"",C48&lt;&gt;"Vacant",C48&lt;&gt;"Manager"),IF('F-TIV'!J45&lt;&gt;0,'F-TIV'!J45,"$0"),"")</f>
        <v/>
      </c>
      <c r="K48" s="1500" t="str">
        <f t="shared" si="1"/>
        <v/>
      </c>
      <c r="L48" s="1504" t="str">
        <f t="shared" si="2"/>
        <v/>
      </c>
      <c r="M48" s="1504" t="str">
        <f t="shared" si="3"/>
        <v/>
      </c>
      <c r="N48" s="1504" t="str">
        <f t="shared" si="4"/>
        <v/>
      </c>
      <c r="O48" s="1504" t="str">
        <f t="shared" si="5"/>
        <v/>
      </c>
      <c r="P48" s="1504" t="str">
        <f t="shared" si="6"/>
        <v/>
      </c>
      <c r="Q48" s="1504" t="str">
        <f t="shared" si="7"/>
        <v/>
      </c>
      <c r="R48" s="1504" t="str">
        <f t="shared" si="8"/>
        <v/>
      </c>
      <c r="S48" s="1504" t="str">
        <f t="shared" si="9"/>
        <v/>
      </c>
      <c r="T48" s="1504" t="str">
        <f t="shared" si="10"/>
        <v/>
      </c>
      <c r="U48" s="1504" t="str">
        <f t="shared" si="11"/>
        <v/>
      </c>
      <c r="V48" s="1503" t="str">
        <f>IF(AND(C48&lt;&gt;"",C48&lt;&gt;"Vacant",C48&lt;&gt;"Manager"),'F-TIV'!O45,"")</f>
        <v/>
      </c>
      <c r="W48" s="1502" t="str">
        <f>IF(AND(C48&lt;&gt;"",C48&lt;&gt;"Vacant",C48&lt;&gt;"Manager"),'F-TIV'!P45,"")</f>
        <v/>
      </c>
      <c r="X48" s="1498" t="str">
        <f t="shared" si="12"/>
        <v/>
      </c>
      <c r="Y48" s="1501" t="str">
        <f>IF('F-TIV'!G45&lt;&gt;"",'F-TIV'!G45,"")</f>
        <v/>
      </c>
      <c r="Z48" s="1500" t="str">
        <f>IF(AND(C48&lt;&gt;"",C48&lt;&gt;"Vacant",C48&lt;&gt;"Manager"),'F-TIV'!L45,"")</f>
        <v/>
      </c>
      <c r="AA48" s="1499" t="str">
        <f t="shared" si="13"/>
        <v/>
      </c>
      <c r="AB48" s="1498" t="str">
        <f t="shared" si="14"/>
        <v/>
      </c>
      <c r="AC48" s="1426"/>
      <c r="AD48" s="1426"/>
      <c r="AE48" s="1426"/>
      <c r="AG48" s="1497"/>
      <c r="AL48" s="1496"/>
      <c r="AN48" s="1496"/>
      <c r="AO48" s="1496"/>
      <c r="AP48" s="1496"/>
      <c r="AQ48" s="1496"/>
      <c r="AR48" s="1496"/>
    </row>
    <row r="49" spans="2:44" s="1442" customFormat="1" ht="11.25" customHeight="1">
      <c r="B49" s="1501" t="str">
        <f t="shared" si="0"/>
        <v>0</v>
      </c>
      <c r="C49" s="1506" t="str">
        <f>IF('F-TIV'!D46&lt;&gt;"",'F-TIV'!D46,"")</f>
        <v/>
      </c>
      <c r="D49" s="1501" t="str">
        <f>IF('F-TIV'!C46&lt;&gt;"",'F-TIV'!C46,"")</f>
        <v/>
      </c>
      <c r="E49" s="1502" t="str">
        <f>IF('F-TIV'!Q46&lt;&gt;"",'F-TIV'!Q46,"")</f>
        <v/>
      </c>
      <c r="F49" s="1502" t="str">
        <f>IF('F-TIV'!R46&lt;&gt;"",'F-TIV'!R46,"")</f>
        <v/>
      </c>
      <c r="G49" s="1505" t="str">
        <f>IF('F-TIV'!S46&lt;&gt;"",'F-TIV'!S46,"")</f>
        <v/>
      </c>
      <c r="H49" s="1501" t="str">
        <f>IF('F-TIV'!F46&lt;&gt;"",'F-TIV'!F46,"")</f>
        <v/>
      </c>
      <c r="I49" s="1500" t="str">
        <f>IF(AND(C49&lt;&gt;"",C49&lt;&gt;"Vacant",C49&lt;&gt;"Manager"),IF('F-TIV'!H46&lt;&gt;"",'F-TIV'!H46,""),"")</f>
        <v/>
      </c>
      <c r="J49" s="1500" t="str">
        <f>IF(AND(C49&lt;&gt;"",C49&lt;&gt;"Vacant",C49&lt;&gt;"Manager"),IF('F-TIV'!J46&lt;&gt;0,'F-TIV'!J46,"$0"),"")</f>
        <v/>
      </c>
      <c r="K49" s="1500" t="str">
        <f t="shared" si="1"/>
        <v/>
      </c>
      <c r="L49" s="1504" t="str">
        <f t="shared" si="2"/>
        <v/>
      </c>
      <c r="M49" s="1504" t="str">
        <f t="shared" si="3"/>
        <v/>
      </c>
      <c r="N49" s="1504" t="str">
        <f t="shared" si="4"/>
        <v/>
      </c>
      <c r="O49" s="1504" t="str">
        <f t="shared" si="5"/>
        <v/>
      </c>
      <c r="P49" s="1504" t="str">
        <f t="shared" si="6"/>
        <v/>
      </c>
      <c r="Q49" s="1504" t="str">
        <f t="shared" si="7"/>
        <v/>
      </c>
      <c r="R49" s="1504" t="str">
        <f t="shared" si="8"/>
        <v/>
      </c>
      <c r="S49" s="1504" t="str">
        <f t="shared" si="9"/>
        <v/>
      </c>
      <c r="T49" s="1504" t="str">
        <f t="shared" si="10"/>
        <v/>
      </c>
      <c r="U49" s="1504" t="str">
        <f t="shared" si="11"/>
        <v/>
      </c>
      <c r="V49" s="1503" t="str">
        <f>IF(AND(C49&lt;&gt;"",C49&lt;&gt;"Vacant",C49&lt;&gt;"Manager"),'F-TIV'!O46,"")</f>
        <v/>
      </c>
      <c r="W49" s="1502" t="str">
        <f>IF(AND(C49&lt;&gt;"",C49&lt;&gt;"Vacant",C49&lt;&gt;"Manager"),'F-TIV'!P46,"")</f>
        <v/>
      </c>
      <c r="X49" s="1498" t="str">
        <f t="shared" si="12"/>
        <v/>
      </c>
      <c r="Y49" s="1501" t="str">
        <f>IF('F-TIV'!G46&lt;&gt;"",'F-TIV'!G46,"")</f>
        <v/>
      </c>
      <c r="Z49" s="1500" t="str">
        <f>IF(AND(C49&lt;&gt;"",C49&lt;&gt;"Vacant",C49&lt;&gt;"Manager"),'F-TIV'!L46,"")</f>
        <v/>
      </c>
      <c r="AA49" s="1499" t="str">
        <f t="shared" si="13"/>
        <v/>
      </c>
      <c r="AB49" s="1498" t="str">
        <f t="shared" si="14"/>
        <v/>
      </c>
      <c r="AC49" s="1426"/>
      <c r="AD49" s="1426"/>
      <c r="AE49" s="1426"/>
      <c r="AG49" s="1497"/>
      <c r="AL49" s="1496"/>
      <c r="AN49" s="1496"/>
      <c r="AO49" s="1496"/>
      <c r="AP49" s="1496"/>
      <c r="AQ49" s="1496"/>
      <c r="AR49" s="1496"/>
    </row>
    <row r="50" spans="2:44" s="1442" customFormat="1" ht="11.25" customHeight="1">
      <c r="B50" s="1501" t="str">
        <f t="shared" si="0"/>
        <v>0</v>
      </c>
      <c r="C50" s="1506" t="str">
        <f>IF('F-TIV'!D47&lt;&gt;"",'F-TIV'!D47,"")</f>
        <v/>
      </c>
      <c r="D50" s="1501" t="str">
        <f>IF('F-TIV'!C47&lt;&gt;"",'F-TIV'!C47,"")</f>
        <v/>
      </c>
      <c r="E50" s="1502" t="str">
        <f>IF('F-TIV'!Q47&lt;&gt;"",'F-TIV'!Q47,"")</f>
        <v/>
      </c>
      <c r="F50" s="1502" t="str">
        <f>IF('F-TIV'!R47&lt;&gt;"",'F-TIV'!R47,"")</f>
        <v/>
      </c>
      <c r="G50" s="1505" t="str">
        <f>IF('F-TIV'!S47&lt;&gt;"",'F-TIV'!S47,"")</f>
        <v/>
      </c>
      <c r="H50" s="1501" t="str">
        <f>IF('F-TIV'!F47&lt;&gt;"",'F-TIV'!F47,"")</f>
        <v/>
      </c>
      <c r="I50" s="1500" t="str">
        <f>IF(AND(C50&lt;&gt;"",C50&lt;&gt;"Vacant",C50&lt;&gt;"Manager"),IF('F-TIV'!H47&lt;&gt;"",'F-TIV'!H47,""),"")</f>
        <v/>
      </c>
      <c r="J50" s="1500" t="str">
        <f>IF(AND(C50&lt;&gt;"",C50&lt;&gt;"Vacant",C50&lt;&gt;"Manager"),IF('F-TIV'!J47&lt;&gt;0,'F-TIV'!J47,"$0"),"")</f>
        <v/>
      </c>
      <c r="K50" s="1500" t="str">
        <f t="shared" si="1"/>
        <v/>
      </c>
      <c r="L50" s="1504" t="str">
        <f t="shared" si="2"/>
        <v/>
      </c>
      <c r="M50" s="1504" t="str">
        <f t="shared" si="3"/>
        <v/>
      </c>
      <c r="N50" s="1504" t="str">
        <f t="shared" si="4"/>
        <v/>
      </c>
      <c r="O50" s="1504" t="str">
        <f t="shared" si="5"/>
        <v/>
      </c>
      <c r="P50" s="1504" t="str">
        <f t="shared" si="6"/>
        <v/>
      </c>
      <c r="Q50" s="1504" t="str">
        <f t="shared" si="7"/>
        <v/>
      </c>
      <c r="R50" s="1504" t="str">
        <f t="shared" si="8"/>
        <v/>
      </c>
      <c r="S50" s="1504" t="str">
        <f t="shared" si="9"/>
        <v/>
      </c>
      <c r="T50" s="1504" t="str">
        <f t="shared" si="10"/>
        <v/>
      </c>
      <c r="U50" s="1504" t="str">
        <f t="shared" si="11"/>
        <v/>
      </c>
      <c r="V50" s="1503" t="str">
        <f>IF(AND(C50&lt;&gt;"",C50&lt;&gt;"Vacant",C50&lt;&gt;"Manager"),'F-TIV'!O47,"")</f>
        <v/>
      </c>
      <c r="W50" s="1502" t="str">
        <f>IF(AND(C50&lt;&gt;"",C50&lt;&gt;"Vacant",C50&lt;&gt;"Manager"),'F-TIV'!P47,"")</f>
        <v/>
      </c>
      <c r="X50" s="1498" t="str">
        <f t="shared" si="12"/>
        <v/>
      </c>
      <c r="Y50" s="1501" t="str">
        <f>IF('F-TIV'!G47&lt;&gt;"",'F-TIV'!G47,"")</f>
        <v/>
      </c>
      <c r="Z50" s="1500" t="str">
        <f>IF(AND(C50&lt;&gt;"",C50&lt;&gt;"Vacant",C50&lt;&gt;"Manager"),'F-TIV'!L47,"")</f>
        <v/>
      </c>
      <c r="AA50" s="1499" t="str">
        <f t="shared" si="13"/>
        <v/>
      </c>
      <c r="AB50" s="1498" t="str">
        <f t="shared" si="14"/>
        <v/>
      </c>
      <c r="AC50" s="1426"/>
      <c r="AD50" s="1426"/>
      <c r="AE50" s="1426"/>
      <c r="AG50" s="1497"/>
      <c r="AL50" s="1496"/>
      <c r="AN50" s="1496"/>
      <c r="AO50" s="1496"/>
      <c r="AP50" s="1496"/>
      <c r="AQ50" s="1496"/>
      <c r="AR50" s="1496"/>
    </row>
    <row r="51" spans="2:44" s="1442" customFormat="1" ht="11.25" customHeight="1">
      <c r="B51" s="1501" t="str">
        <f t="shared" si="0"/>
        <v>0</v>
      </c>
      <c r="C51" s="1506" t="str">
        <f>IF('F-TIV'!D48&lt;&gt;"",'F-TIV'!D48,"")</f>
        <v/>
      </c>
      <c r="D51" s="1501" t="str">
        <f>IF('F-TIV'!C48&lt;&gt;"",'F-TIV'!C48,"")</f>
        <v/>
      </c>
      <c r="E51" s="1502" t="str">
        <f>IF('F-TIV'!Q48&lt;&gt;"",'F-TIV'!Q48,"")</f>
        <v/>
      </c>
      <c r="F51" s="1502" t="str">
        <f>IF('F-TIV'!R48&lt;&gt;"",'F-TIV'!R48,"")</f>
        <v/>
      </c>
      <c r="G51" s="1505" t="str">
        <f>IF('F-TIV'!S48&lt;&gt;"",'F-TIV'!S48,"")</f>
        <v/>
      </c>
      <c r="H51" s="1501" t="str">
        <f>IF('F-TIV'!F48&lt;&gt;"",'F-TIV'!F48,"")</f>
        <v/>
      </c>
      <c r="I51" s="1500" t="str">
        <f>IF(AND(C51&lt;&gt;"",C51&lt;&gt;"Vacant",C51&lt;&gt;"Manager"),IF('F-TIV'!H48&lt;&gt;"",'F-TIV'!H48,""),"")</f>
        <v/>
      </c>
      <c r="J51" s="1500" t="str">
        <f>IF(AND(C51&lt;&gt;"",C51&lt;&gt;"Vacant",C51&lt;&gt;"Manager"),IF('F-TIV'!J48&lt;&gt;0,'F-TIV'!J48,"$0"),"")</f>
        <v/>
      </c>
      <c r="K51" s="1500" t="str">
        <f t="shared" si="1"/>
        <v/>
      </c>
      <c r="L51" s="1504" t="str">
        <f t="shared" si="2"/>
        <v/>
      </c>
      <c r="M51" s="1504" t="str">
        <f t="shared" si="3"/>
        <v/>
      </c>
      <c r="N51" s="1504" t="str">
        <f t="shared" si="4"/>
        <v/>
      </c>
      <c r="O51" s="1504" t="str">
        <f t="shared" si="5"/>
        <v/>
      </c>
      <c r="P51" s="1504" t="str">
        <f t="shared" si="6"/>
        <v/>
      </c>
      <c r="Q51" s="1504" t="str">
        <f t="shared" si="7"/>
        <v/>
      </c>
      <c r="R51" s="1504" t="str">
        <f t="shared" si="8"/>
        <v/>
      </c>
      <c r="S51" s="1504" t="str">
        <f t="shared" si="9"/>
        <v/>
      </c>
      <c r="T51" s="1504" t="str">
        <f t="shared" si="10"/>
        <v/>
      </c>
      <c r="U51" s="1504" t="str">
        <f t="shared" si="11"/>
        <v/>
      </c>
      <c r="V51" s="1503" t="str">
        <f>IF(AND(C51&lt;&gt;"",C51&lt;&gt;"Vacant",C51&lt;&gt;"Manager"),'F-TIV'!O48,"")</f>
        <v/>
      </c>
      <c r="W51" s="1502" t="str">
        <f>IF(AND(C51&lt;&gt;"",C51&lt;&gt;"Vacant",C51&lt;&gt;"Manager"),'F-TIV'!P48,"")</f>
        <v/>
      </c>
      <c r="X51" s="1498" t="str">
        <f t="shared" si="12"/>
        <v/>
      </c>
      <c r="Y51" s="1501" t="str">
        <f>IF('F-TIV'!G48&lt;&gt;"",'F-TIV'!G48,"")</f>
        <v/>
      </c>
      <c r="Z51" s="1500" t="str">
        <f>IF(AND(C51&lt;&gt;"",C51&lt;&gt;"Vacant",C51&lt;&gt;"Manager"),'F-TIV'!L48,"")</f>
        <v/>
      </c>
      <c r="AA51" s="1499" t="str">
        <f t="shared" si="13"/>
        <v/>
      </c>
      <c r="AB51" s="1498" t="str">
        <f t="shared" si="14"/>
        <v/>
      </c>
      <c r="AC51" s="1426"/>
      <c r="AD51" s="1426"/>
      <c r="AE51" s="1426"/>
      <c r="AG51" s="1497"/>
      <c r="AL51" s="1496"/>
      <c r="AN51" s="1496"/>
      <c r="AO51" s="1496"/>
      <c r="AP51" s="1496"/>
      <c r="AQ51" s="1496"/>
      <c r="AR51" s="1496"/>
    </row>
    <row r="52" spans="2:44" s="1442" customFormat="1" ht="11.25" customHeight="1">
      <c r="B52" s="1501" t="str">
        <f t="shared" si="0"/>
        <v>0</v>
      </c>
      <c r="C52" s="1506" t="str">
        <f>IF('F-TIV'!D49&lt;&gt;"",'F-TIV'!D49,"")</f>
        <v/>
      </c>
      <c r="D52" s="1501" t="str">
        <f>IF('F-TIV'!C49&lt;&gt;"",'F-TIV'!C49,"")</f>
        <v/>
      </c>
      <c r="E52" s="1502" t="str">
        <f>IF('F-TIV'!Q49&lt;&gt;"",'F-TIV'!Q49,"")</f>
        <v/>
      </c>
      <c r="F52" s="1502" t="str">
        <f>IF('F-TIV'!R49&lt;&gt;"",'F-TIV'!R49,"")</f>
        <v/>
      </c>
      <c r="G52" s="1505" t="str">
        <f>IF('F-TIV'!S49&lt;&gt;"",'F-TIV'!S49,"")</f>
        <v/>
      </c>
      <c r="H52" s="1501" t="str">
        <f>IF('F-TIV'!F49&lt;&gt;"",'F-TIV'!F49,"")</f>
        <v/>
      </c>
      <c r="I52" s="1500" t="str">
        <f>IF(AND(C52&lt;&gt;"",C52&lt;&gt;"Vacant",C52&lt;&gt;"Manager"),IF('F-TIV'!H49&lt;&gt;"",'F-TIV'!H49,""),"")</f>
        <v/>
      </c>
      <c r="J52" s="1500" t="str">
        <f>IF(AND(C52&lt;&gt;"",C52&lt;&gt;"Vacant",C52&lt;&gt;"Manager"),IF('F-TIV'!J49&lt;&gt;0,'F-TIV'!J49,"$0"),"")</f>
        <v/>
      </c>
      <c r="K52" s="1500" t="str">
        <f t="shared" si="1"/>
        <v/>
      </c>
      <c r="L52" s="1504" t="str">
        <f t="shared" si="2"/>
        <v/>
      </c>
      <c r="M52" s="1504" t="str">
        <f t="shared" si="3"/>
        <v/>
      </c>
      <c r="N52" s="1504" t="str">
        <f t="shared" si="4"/>
        <v/>
      </c>
      <c r="O52" s="1504" t="str">
        <f t="shared" si="5"/>
        <v/>
      </c>
      <c r="P52" s="1504" t="str">
        <f t="shared" si="6"/>
        <v/>
      </c>
      <c r="Q52" s="1504" t="str">
        <f t="shared" si="7"/>
        <v/>
      </c>
      <c r="R52" s="1504" t="str">
        <f t="shared" si="8"/>
        <v/>
      </c>
      <c r="S52" s="1504" t="str">
        <f t="shared" si="9"/>
        <v/>
      </c>
      <c r="T52" s="1504" t="str">
        <f t="shared" si="10"/>
        <v/>
      </c>
      <c r="U52" s="1504" t="str">
        <f t="shared" si="11"/>
        <v/>
      </c>
      <c r="V52" s="1503" t="str">
        <f>IF(AND(C52&lt;&gt;"",C52&lt;&gt;"Vacant",C52&lt;&gt;"Manager"),'F-TIV'!O49,"")</f>
        <v/>
      </c>
      <c r="W52" s="1502" t="str">
        <f>IF(AND(C52&lt;&gt;"",C52&lt;&gt;"Vacant",C52&lt;&gt;"Manager"),'F-TIV'!P49,"")</f>
        <v/>
      </c>
      <c r="X52" s="1498" t="str">
        <f t="shared" si="12"/>
        <v/>
      </c>
      <c r="Y52" s="1501" t="str">
        <f>IF('F-TIV'!G49&lt;&gt;"",'F-TIV'!G49,"")</f>
        <v/>
      </c>
      <c r="Z52" s="1500" t="str">
        <f>IF(AND(C52&lt;&gt;"",C52&lt;&gt;"Vacant",C52&lt;&gt;"Manager"),'F-TIV'!L49,"")</f>
        <v/>
      </c>
      <c r="AA52" s="1499" t="str">
        <f t="shared" si="13"/>
        <v/>
      </c>
      <c r="AB52" s="1498" t="str">
        <f t="shared" si="14"/>
        <v/>
      </c>
      <c r="AC52" s="1426"/>
      <c r="AD52" s="1426"/>
      <c r="AE52" s="1426"/>
      <c r="AG52" s="1497"/>
      <c r="AL52" s="1496"/>
      <c r="AN52" s="1496"/>
      <c r="AO52" s="1496"/>
      <c r="AP52" s="1496"/>
      <c r="AQ52" s="1496"/>
      <c r="AR52" s="1496"/>
    </row>
    <row r="53" spans="2:44" s="1442" customFormat="1" ht="11.25" customHeight="1">
      <c r="B53" s="1501" t="str">
        <f t="shared" si="0"/>
        <v>0</v>
      </c>
      <c r="C53" s="1506" t="str">
        <f>IF('F-TIV'!D50&lt;&gt;"",'F-TIV'!D50,"")</f>
        <v/>
      </c>
      <c r="D53" s="1501" t="str">
        <f>IF('F-TIV'!C50&lt;&gt;"",'F-TIV'!C50,"")</f>
        <v/>
      </c>
      <c r="E53" s="1502" t="str">
        <f>IF('F-TIV'!Q50&lt;&gt;"",'F-TIV'!Q50,"")</f>
        <v/>
      </c>
      <c r="F53" s="1502" t="str">
        <f>IF('F-TIV'!R50&lt;&gt;"",'F-TIV'!R50,"")</f>
        <v/>
      </c>
      <c r="G53" s="1505" t="str">
        <f>IF('F-TIV'!S50&lt;&gt;"",'F-TIV'!S50,"")</f>
        <v/>
      </c>
      <c r="H53" s="1501" t="str">
        <f>IF('F-TIV'!F50&lt;&gt;"",'F-TIV'!F50,"")</f>
        <v/>
      </c>
      <c r="I53" s="1500" t="str">
        <f>IF(AND(C53&lt;&gt;"",C53&lt;&gt;"Vacant",C53&lt;&gt;"Manager"),IF('F-TIV'!H50&lt;&gt;"",'F-TIV'!H50,""),"")</f>
        <v/>
      </c>
      <c r="J53" s="1500" t="str">
        <f>IF(AND(C53&lt;&gt;"",C53&lt;&gt;"Vacant",C53&lt;&gt;"Manager"),IF('F-TIV'!J50&lt;&gt;0,'F-TIV'!J50,"$0"),"")</f>
        <v/>
      </c>
      <c r="K53" s="1500" t="str">
        <f t="shared" si="1"/>
        <v/>
      </c>
      <c r="L53" s="1504" t="str">
        <f t="shared" si="2"/>
        <v/>
      </c>
      <c r="M53" s="1504" t="str">
        <f t="shared" si="3"/>
        <v/>
      </c>
      <c r="N53" s="1504" t="str">
        <f t="shared" si="4"/>
        <v/>
      </c>
      <c r="O53" s="1504" t="str">
        <f t="shared" si="5"/>
        <v/>
      </c>
      <c r="P53" s="1504" t="str">
        <f t="shared" si="6"/>
        <v/>
      </c>
      <c r="Q53" s="1504" t="str">
        <f t="shared" si="7"/>
        <v/>
      </c>
      <c r="R53" s="1504" t="str">
        <f t="shared" si="8"/>
        <v/>
      </c>
      <c r="S53" s="1504" t="str">
        <f t="shared" si="9"/>
        <v/>
      </c>
      <c r="T53" s="1504" t="str">
        <f t="shared" si="10"/>
        <v/>
      </c>
      <c r="U53" s="1504" t="str">
        <f t="shared" si="11"/>
        <v/>
      </c>
      <c r="V53" s="1503" t="str">
        <f>IF(AND(C53&lt;&gt;"",C53&lt;&gt;"Vacant",C53&lt;&gt;"Manager"),'F-TIV'!O50,"")</f>
        <v/>
      </c>
      <c r="W53" s="1502" t="str">
        <f>IF(AND(C53&lt;&gt;"",C53&lt;&gt;"Vacant",C53&lt;&gt;"Manager"),'F-TIV'!P50,"")</f>
        <v/>
      </c>
      <c r="X53" s="1498" t="str">
        <f t="shared" si="12"/>
        <v/>
      </c>
      <c r="Y53" s="1501" t="str">
        <f>IF('F-TIV'!G50&lt;&gt;"",'F-TIV'!G50,"")</f>
        <v/>
      </c>
      <c r="Z53" s="1500" t="str">
        <f>IF(AND(C53&lt;&gt;"",C53&lt;&gt;"Vacant",C53&lt;&gt;"Manager"),'F-TIV'!L50,"")</f>
        <v/>
      </c>
      <c r="AA53" s="1499" t="str">
        <f t="shared" si="13"/>
        <v/>
      </c>
      <c r="AB53" s="1498" t="str">
        <f t="shared" si="14"/>
        <v/>
      </c>
      <c r="AC53" s="1426"/>
      <c r="AD53" s="1426"/>
      <c r="AE53" s="1426"/>
      <c r="AG53" s="1497"/>
      <c r="AL53" s="1496"/>
      <c r="AN53" s="1496"/>
      <c r="AO53" s="1496"/>
      <c r="AP53" s="1496"/>
      <c r="AQ53" s="1496"/>
      <c r="AR53" s="1496"/>
    </row>
    <row r="54" spans="2:44" s="1442" customFormat="1" ht="11.25" customHeight="1">
      <c r="B54" s="1501" t="str">
        <f t="shared" si="0"/>
        <v>0</v>
      </c>
      <c r="C54" s="1506" t="str">
        <f>IF('F-TIV'!D51&lt;&gt;"",'F-TIV'!D51,"")</f>
        <v/>
      </c>
      <c r="D54" s="1501" t="str">
        <f>IF('F-TIV'!C51&lt;&gt;"",'F-TIV'!C51,"")</f>
        <v/>
      </c>
      <c r="E54" s="1502" t="str">
        <f>IF('F-TIV'!Q51&lt;&gt;"",'F-TIV'!Q51,"")</f>
        <v/>
      </c>
      <c r="F54" s="1502" t="str">
        <f>IF('F-TIV'!R51&lt;&gt;"",'F-TIV'!R51,"")</f>
        <v/>
      </c>
      <c r="G54" s="1505" t="str">
        <f>IF('F-TIV'!S51&lt;&gt;"",'F-TIV'!S51,"")</f>
        <v/>
      </c>
      <c r="H54" s="1501" t="str">
        <f>IF('F-TIV'!F51&lt;&gt;"",'F-TIV'!F51,"")</f>
        <v/>
      </c>
      <c r="I54" s="1500" t="str">
        <f>IF(AND(C54&lt;&gt;"",C54&lt;&gt;"Vacant",C54&lt;&gt;"Manager"),IF('F-TIV'!H51&lt;&gt;"",'F-TIV'!H51,""),"")</f>
        <v/>
      </c>
      <c r="J54" s="1500" t="str">
        <f>IF(AND(C54&lt;&gt;"",C54&lt;&gt;"Vacant",C54&lt;&gt;"Manager"),IF('F-TIV'!J51&lt;&gt;0,'F-TIV'!J51,"$0"),"")</f>
        <v/>
      </c>
      <c r="K54" s="1500" t="str">
        <f t="shared" si="1"/>
        <v/>
      </c>
      <c r="L54" s="1504" t="str">
        <f t="shared" si="2"/>
        <v/>
      </c>
      <c r="M54" s="1504" t="str">
        <f t="shared" si="3"/>
        <v/>
      </c>
      <c r="N54" s="1504" t="str">
        <f t="shared" si="4"/>
        <v/>
      </c>
      <c r="O54" s="1504" t="str">
        <f t="shared" si="5"/>
        <v/>
      </c>
      <c r="P54" s="1504" t="str">
        <f t="shared" si="6"/>
        <v/>
      </c>
      <c r="Q54" s="1504" t="str">
        <f t="shared" si="7"/>
        <v/>
      </c>
      <c r="R54" s="1504" t="str">
        <f t="shared" si="8"/>
        <v/>
      </c>
      <c r="S54" s="1504" t="str">
        <f t="shared" si="9"/>
        <v/>
      </c>
      <c r="T54" s="1504" t="str">
        <f t="shared" si="10"/>
        <v/>
      </c>
      <c r="U54" s="1504" t="str">
        <f t="shared" si="11"/>
        <v/>
      </c>
      <c r="V54" s="1503" t="str">
        <f>IF(AND(C54&lt;&gt;"",C54&lt;&gt;"Vacant",C54&lt;&gt;"Manager"),'F-TIV'!O51,"")</f>
        <v/>
      </c>
      <c r="W54" s="1502" t="str">
        <f>IF(AND(C54&lt;&gt;"",C54&lt;&gt;"Vacant",C54&lt;&gt;"Manager"),'F-TIV'!P51,"")</f>
        <v/>
      </c>
      <c r="X54" s="1498" t="str">
        <f t="shared" si="12"/>
        <v/>
      </c>
      <c r="Y54" s="1501" t="str">
        <f>IF('F-TIV'!G51&lt;&gt;"",'F-TIV'!G51,"")</f>
        <v/>
      </c>
      <c r="Z54" s="1500" t="str">
        <f>IF(AND(C54&lt;&gt;"",C54&lt;&gt;"Vacant",C54&lt;&gt;"Manager"),'F-TIV'!L51,"")</f>
        <v/>
      </c>
      <c r="AA54" s="1499" t="str">
        <f t="shared" si="13"/>
        <v/>
      </c>
      <c r="AB54" s="1498" t="str">
        <f t="shared" si="14"/>
        <v/>
      </c>
      <c r="AC54" s="1426"/>
      <c r="AD54" s="1426"/>
      <c r="AE54" s="1426"/>
      <c r="AG54" s="1497"/>
      <c r="AL54" s="1496"/>
      <c r="AN54" s="1496"/>
      <c r="AO54" s="1496"/>
      <c r="AP54" s="1496"/>
      <c r="AQ54" s="1496"/>
      <c r="AR54" s="1496"/>
    </row>
    <row r="55" spans="2:44" s="1442" customFormat="1" ht="11.25" customHeight="1">
      <c r="B55" s="1501" t="str">
        <f t="shared" si="0"/>
        <v>0</v>
      </c>
      <c r="C55" s="1506" t="str">
        <f>IF('F-TIV'!D52&lt;&gt;"",'F-TIV'!D52,"")</f>
        <v/>
      </c>
      <c r="D55" s="1501" t="str">
        <f>IF('F-TIV'!C52&lt;&gt;"",'F-TIV'!C52,"")</f>
        <v/>
      </c>
      <c r="E55" s="1502" t="str">
        <f>IF('F-TIV'!Q52&lt;&gt;"",'F-TIV'!Q52,"")</f>
        <v/>
      </c>
      <c r="F55" s="1502" t="str">
        <f>IF('F-TIV'!R52&lt;&gt;"",'F-TIV'!R52,"")</f>
        <v/>
      </c>
      <c r="G55" s="1505" t="str">
        <f>IF('F-TIV'!S52&lt;&gt;"",'F-TIV'!S52,"")</f>
        <v/>
      </c>
      <c r="H55" s="1501" t="str">
        <f>IF('F-TIV'!F52&lt;&gt;"",'F-TIV'!F52,"")</f>
        <v/>
      </c>
      <c r="I55" s="1500" t="str">
        <f>IF(AND(C55&lt;&gt;"",C55&lt;&gt;"Vacant",C55&lt;&gt;"Manager"),IF('F-TIV'!H52&lt;&gt;"",'F-TIV'!H52,""),"")</f>
        <v/>
      </c>
      <c r="J55" s="1500" t="str">
        <f>IF(AND(C55&lt;&gt;"",C55&lt;&gt;"Vacant",C55&lt;&gt;"Manager"),IF('F-TIV'!J52&lt;&gt;0,'F-TIV'!J52,"$0"),"")</f>
        <v/>
      </c>
      <c r="K55" s="1500" t="str">
        <f t="shared" si="1"/>
        <v/>
      </c>
      <c r="L55" s="1504" t="str">
        <f t="shared" si="2"/>
        <v/>
      </c>
      <c r="M55" s="1504" t="str">
        <f t="shared" si="3"/>
        <v/>
      </c>
      <c r="N55" s="1504" t="str">
        <f t="shared" si="4"/>
        <v/>
      </c>
      <c r="O55" s="1504" t="str">
        <f t="shared" si="5"/>
        <v/>
      </c>
      <c r="P55" s="1504" t="str">
        <f t="shared" si="6"/>
        <v/>
      </c>
      <c r="Q55" s="1504" t="str">
        <f t="shared" si="7"/>
        <v/>
      </c>
      <c r="R55" s="1504" t="str">
        <f t="shared" si="8"/>
        <v/>
      </c>
      <c r="S55" s="1504" t="str">
        <f t="shared" si="9"/>
        <v/>
      </c>
      <c r="T55" s="1504" t="str">
        <f t="shared" si="10"/>
        <v/>
      </c>
      <c r="U55" s="1504" t="str">
        <f t="shared" si="11"/>
        <v/>
      </c>
      <c r="V55" s="1503" t="str">
        <f>IF(AND(C55&lt;&gt;"",C55&lt;&gt;"Vacant",C55&lt;&gt;"Manager"),'F-TIV'!O52,"")</f>
        <v/>
      </c>
      <c r="W55" s="1502" t="str">
        <f>IF(AND(C55&lt;&gt;"",C55&lt;&gt;"Vacant",C55&lt;&gt;"Manager"),'F-TIV'!P52,"")</f>
        <v/>
      </c>
      <c r="X55" s="1498" t="str">
        <f t="shared" si="12"/>
        <v/>
      </c>
      <c r="Y55" s="1501" t="str">
        <f>IF('F-TIV'!G52&lt;&gt;"",'F-TIV'!G52,"")</f>
        <v/>
      </c>
      <c r="Z55" s="1500" t="str">
        <f>IF(AND(C55&lt;&gt;"",C55&lt;&gt;"Vacant",C55&lt;&gt;"Manager"),'F-TIV'!L52,"")</f>
        <v/>
      </c>
      <c r="AA55" s="1499" t="str">
        <f t="shared" si="13"/>
        <v/>
      </c>
      <c r="AB55" s="1498" t="str">
        <f t="shared" si="14"/>
        <v/>
      </c>
      <c r="AC55" s="1426"/>
      <c r="AD55" s="1426"/>
      <c r="AE55" s="1426"/>
      <c r="AG55" s="1497"/>
      <c r="AL55" s="1496"/>
      <c r="AN55" s="1496"/>
      <c r="AO55" s="1496"/>
      <c r="AP55" s="1496"/>
      <c r="AQ55" s="1496"/>
      <c r="AR55" s="1496"/>
    </row>
    <row r="56" spans="2:44" s="1442" customFormat="1" ht="11.25" customHeight="1">
      <c r="B56" s="1501" t="str">
        <f t="shared" si="0"/>
        <v>0</v>
      </c>
      <c r="C56" s="1506" t="str">
        <f>IF('F-TIV'!D53&lt;&gt;"",'F-TIV'!D53,"")</f>
        <v/>
      </c>
      <c r="D56" s="1501" t="str">
        <f>IF('F-TIV'!C53&lt;&gt;"",'F-TIV'!C53,"")</f>
        <v/>
      </c>
      <c r="E56" s="1502" t="str">
        <f>IF('F-TIV'!Q53&lt;&gt;"",'F-TIV'!Q53,"")</f>
        <v/>
      </c>
      <c r="F56" s="1502" t="str">
        <f>IF('F-TIV'!R53&lt;&gt;"",'F-TIV'!R53,"")</f>
        <v/>
      </c>
      <c r="G56" s="1505" t="str">
        <f>IF('F-TIV'!S53&lt;&gt;"",'F-TIV'!S53,"")</f>
        <v/>
      </c>
      <c r="H56" s="1501" t="str">
        <f>IF('F-TIV'!F53&lt;&gt;"",'F-TIV'!F53,"")</f>
        <v/>
      </c>
      <c r="I56" s="1500" t="str">
        <f>IF(AND(C56&lt;&gt;"",C56&lt;&gt;"Vacant",C56&lt;&gt;"Manager"),IF('F-TIV'!H53&lt;&gt;"",'F-TIV'!H53,""),"")</f>
        <v/>
      </c>
      <c r="J56" s="1500" t="str">
        <f>IF(AND(C56&lt;&gt;"",C56&lt;&gt;"Vacant",C56&lt;&gt;"Manager"),IF('F-TIV'!J53&lt;&gt;0,'F-TIV'!J53,"$0"),"")</f>
        <v/>
      </c>
      <c r="K56" s="1500" t="str">
        <f t="shared" si="1"/>
        <v/>
      </c>
      <c r="L56" s="1504" t="str">
        <f t="shared" si="2"/>
        <v/>
      </c>
      <c r="M56" s="1504" t="str">
        <f t="shared" si="3"/>
        <v/>
      </c>
      <c r="N56" s="1504" t="str">
        <f t="shared" si="4"/>
        <v/>
      </c>
      <c r="O56" s="1504" t="str">
        <f t="shared" si="5"/>
        <v/>
      </c>
      <c r="P56" s="1504" t="str">
        <f t="shared" si="6"/>
        <v/>
      </c>
      <c r="Q56" s="1504" t="str">
        <f t="shared" si="7"/>
        <v/>
      </c>
      <c r="R56" s="1504" t="str">
        <f t="shared" si="8"/>
        <v/>
      </c>
      <c r="S56" s="1504" t="str">
        <f t="shared" si="9"/>
        <v/>
      </c>
      <c r="T56" s="1504" t="str">
        <f t="shared" si="10"/>
        <v/>
      </c>
      <c r="U56" s="1504" t="str">
        <f t="shared" si="11"/>
        <v/>
      </c>
      <c r="V56" s="1503" t="str">
        <f>IF(AND(C56&lt;&gt;"",C56&lt;&gt;"Vacant",C56&lt;&gt;"Manager"),'F-TIV'!O53,"")</f>
        <v/>
      </c>
      <c r="W56" s="1502" t="str">
        <f>IF(AND(C56&lt;&gt;"",C56&lt;&gt;"Vacant",C56&lt;&gt;"Manager"),'F-TIV'!P53,"")</f>
        <v/>
      </c>
      <c r="X56" s="1498" t="str">
        <f t="shared" si="12"/>
        <v/>
      </c>
      <c r="Y56" s="1501" t="str">
        <f>IF('F-TIV'!G53&lt;&gt;"",'F-TIV'!G53,"")</f>
        <v/>
      </c>
      <c r="Z56" s="1500" t="str">
        <f>IF(AND(C56&lt;&gt;"",C56&lt;&gt;"Vacant",C56&lt;&gt;"Manager"),'F-TIV'!L53,"")</f>
        <v/>
      </c>
      <c r="AA56" s="1499" t="str">
        <f t="shared" si="13"/>
        <v/>
      </c>
      <c r="AB56" s="1498" t="str">
        <f t="shared" si="14"/>
        <v/>
      </c>
      <c r="AC56" s="1426"/>
      <c r="AD56" s="1426"/>
      <c r="AE56" s="1426"/>
      <c r="AG56" s="1497"/>
      <c r="AL56" s="1496"/>
      <c r="AN56" s="1496"/>
      <c r="AO56" s="1496"/>
      <c r="AP56" s="1496"/>
      <c r="AQ56" s="1496"/>
      <c r="AR56" s="1496"/>
    </row>
    <row r="57" spans="2:44" s="1442" customFormat="1" ht="11.25" customHeight="1">
      <c r="B57" s="1501" t="str">
        <f t="shared" si="0"/>
        <v>0</v>
      </c>
      <c r="C57" s="1506" t="str">
        <f>IF('F-TIV'!D54&lt;&gt;"",'F-TIV'!D54,"")</f>
        <v/>
      </c>
      <c r="D57" s="1501" t="str">
        <f>IF('F-TIV'!C54&lt;&gt;"",'F-TIV'!C54,"")</f>
        <v/>
      </c>
      <c r="E57" s="1502" t="str">
        <f>IF('F-TIV'!Q54&lt;&gt;"",'F-TIV'!Q54,"")</f>
        <v/>
      </c>
      <c r="F57" s="1502" t="str">
        <f>IF('F-TIV'!R54&lt;&gt;"",'F-TIV'!R54,"")</f>
        <v/>
      </c>
      <c r="G57" s="1505" t="str">
        <f>IF('F-TIV'!S54&lt;&gt;"",'F-TIV'!S54,"")</f>
        <v/>
      </c>
      <c r="H57" s="1501" t="str">
        <f>IF('F-TIV'!F54&lt;&gt;"",'F-TIV'!F54,"")</f>
        <v/>
      </c>
      <c r="I57" s="1500" t="str">
        <f>IF(AND(C57&lt;&gt;"",C57&lt;&gt;"Vacant",C57&lt;&gt;"Manager"),IF('F-TIV'!H54&lt;&gt;"",'F-TIV'!H54,""),"")</f>
        <v/>
      </c>
      <c r="J57" s="1500" t="str">
        <f>IF(AND(C57&lt;&gt;"",C57&lt;&gt;"Vacant",C57&lt;&gt;"Manager"),IF('F-TIV'!J54&lt;&gt;0,'F-TIV'!J54,"$0"),"")</f>
        <v/>
      </c>
      <c r="K57" s="1500" t="str">
        <f t="shared" si="1"/>
        <v/>
      </c>
      <c r="L57" s="1504" t="str">
        <f t="shared" si="2"/>
        <v/>
      </c>
      <c r="M57" s="1504" t="str">
        <f t="shared" si="3"/>
        <v/>
      </c>
      <c r="N57" s="1504" t="str">
        <f t="shared" si="4"/>
        <v/>
      </c>
      <c r="O57" s="1504" t="str">
        <f t="shared" si="5"/>
        <v/>
      </c>
      <c r="P57" s="1504" t="str">
        <f t="shared" si="6"/>
        <v/>
      </c>
      <c r="Q57" s="1504" t="str">
        <f t="shared" si="7"/>
        <v/>
      </c>
      <c r="R57" s="1504" t="str">
        <f t="shared" si="8"/>
        <v/>
      </c>
      <c r="S57" s="1504" t="str">
        <f t="shared" si="9"/>
        <v/>
      </c>
      <c r="T57" s="1504" t="str">
        <f t="shared" si="10"/>
        <v/>
      </c>
      <c r="U57" s="1504" t="str">
        <f t="shared" si="11"/>
        <v/>
      </c>
      <c r="V57" s="1503" t="str">
        <f>IF(AND(C57&lt;&gt;"",C57&lt;&gt;"Vacant",C57&lt;&gt;"Manager"),'F-TIV'!O54,"")</f>
        <v/>
      </c>
      <c r="W57" s="1502" t="str">
        <f>IF(AND(C57&lt;&gt;"",C57&lt;&gt;"Vacant",C57&lt;&gt;"Manager"),'F-TIV'!P54,"")</f>
        <v/>
      </c>
      <c r="X57" s="1498" t="str">
        <f t="shared" si="12"/>
        <v/>
      </c>
      <c r="Y57" s="1501" t="str">
        <f>IF('F-TIV'!G54&lt;&gt;"",'F-TIV'!G54,"")</f>
        <v/>
      </c>
      <c r="Z57" s="1500" t="str">
        <f>IF(AND(C57&lt;&gt;"",C57&lt;&gt;"Vacant",C57&lt;&gt;"Manager"),'F-TIV'!L54,"")</f>
        <v/>
      </c>
      <c r="AA57" s="1499" t="str">
        <f t="shared" si="13"/>
        <v/>
      </c>
      <c r="AB57" s="1498" t="str">
        <f t="shared" si="14"/>
        <v/>
      </c>
      <c r="AC57" s="1426"/>
      <c r="AD57" s="1426"/>
      <c r="AE57" s="1426"/>
      <c r="AG57" s="1497"/>
      <c r="AL57" s="1496"/>
      <c r="AN57" s="1496"/>
      <c r="AO57" s="1496"/>
      <c r="AP57" s="1496"/>
      <c r="AQ57" s="1496"/>
      <c r="AR57" s="1496"/>
    </row>
    <row r="58" spans="2:44" s="1442" customFormat="1" ht="11.25" customHeight="1">
      <c r="B58" s="1501" t="str">
        <f t="shared" si="0"/>
        <v>0</v>
      </c>
      <c r="C58" s="1506" t="str">
        <f>IF('F-TIV'!D55&lt;&gt;"",'F-TIV'!D55,"")</f>
        <v/>
      </c>
      <c r="D58" s="1501" t="str">
        <f>IF('F-TIV'!C55&lt;&gt;"",'F-TIV'!C55,"")</f>
        <v/>
      </c>
      <c r="E58" s="1502" t="str">
        <f>IF('F-TIV'!Q55&lt;&gt;"",'F-TIV'!Q55,"")</f>
        <v/>
      </c>
      <c r="F58" s="1502" t="str">
        <f>IF('F-TIV'!R55&lt;&gt;"",'F-TIV'!R55,"")</f>
        <v/>
      </c>
      <c r="G58" s="1505" t="str">
        <f>IF('F-TIV'!S55&lt;&gt;"",'F-TIV'!S55,"")</f>
        <v/>
      </c>
      <c r="H58" s="1501" t="str">
        <f>IF('F-TIV'!F55&lt;&gt;"",'F-TIV'!F55,"")</f>
        <v/>
      </c>
      <c r="I58" s="1500" t="str">
        <f>IF(AND(C58&lt;&gt;"",C58&lt;&gt;"Vacant",C58&lt;&gt;"Manager"),IF('F-TIV'!H55&lt;&gt;"",'F-TIV'!H55,""),"")</f>
        <v/>
      </c>
      <c r="J58" s="1500" t="str">
        <f>IF(AND(C58&lt;&gt;"",C58&lt;&gt;"Vacant",C58&lt;&gt;"Manager"),IF('F-TIV'!J55&lt;&gt;0,'F-TIV'!J55,"$0"),"")</f>
        <v/>
      </c>
      <c r="K58" s="1500" t="str">
        <f t="shared" si="1"/>
        <v/>
      </c>
      <c r="L58" s="1504" t="str">
        <f t="shared" si="2"/>
        <v/>
      </c>
      <c r="M58" s="1504" t="str">
        <f t="shared" si="3"/>
        <v/>
      </c>
      <c r="N58" s="1504" t="str">
        <f t="shared" si="4"/>
        <v/>
      </c>
      <c r="O58" s="1504" t="str">
        <f t="shared" si="5"/>
        <v/>
      </c>
      <c r="P58" s="1504" t="str">
        <f t="shared" si="6"/>
        <v/>
      </c>
      <c r="Q58" s="1504" t="str">
        <f t="shared" si="7"/>
        <v/>
      </c>
      <c r="R58" s="1504" t="str">
        <f t="shared" si="8"/>
        <v/>
      </c>
      <c r="S58" s="1504" t="str">
        <f t="shared" si="9"/>
        <v/>
      </c>
      <c r="T58" s="1504" t="str">
        <f t="shared" si="10"/>
        <v/>
      </c>
      <c r="U58" s="1504" t="str">
        <f t="shared" si="11"/>
        <v/>
      </c>
      <c r="V58" s="1503" t="str">
        <f>IF(AND(C58&lt;&gt;"",C58&lt;&gt;"Vacant",C58&lt;&gt;"Manager"),'F-TIV'!O55,"")</f>
        <v/>
      </c>
      <c r="W58" s="1502" t="str">
        <f>IF(AND(C58&lt;&gt;"",C58&lt;&gt;"Vacant",C58&lt;&gt;"Manager"),'F-TIV'!P55,"")</f>
        <v/>
      </c>
      <c r="X58" s="1498" t="str">
        <f t="shared" si="12"/>
        <v/>
      </c>
      <c r="Y58" s="1501" t="str">
        <f>IF('F-TIV'!G55&lt;&gt;"",'F-TIV'!G55,"")</f>
        <v/>
      </c>
      <c r="Z58" s="1500" t="str">
        <f>IF(AND(C58&lt;&gt;"",C58&lt;&gt;"Vacant",C58&lt;&gt;"Manager"),'F-TIV'!L55,"")</f>
        <v/>
      </c>
      <c r="AA58" s="1499" t="str">
        <f t="shared" si="13"/>
        <v/>
      </c>
      <c r="AB58" s="1498" t="str">
        <f t="shared" si="14"/>
        <v/>
      </c>
      <c r="AC58" s="1426"/>
      <c r="AD58" s="1426"/>
      <c r="AE58" s="1426"/>
      <c r="AG58" s="1497"/>
      <c r="AL58" s="1496"/>
      <c r="AN58" s="1496"/>
      <c r="AO58" s="1496"/>
      <c r="AP58" s="1496"/>
      <c r="AQ58" s="1496"/>
      <c r="AR58" s="1496"/>
    </row>
    <row r="59" spans="2:44" s="1442" customFormat="1" ht="11.25" customHeight="1">
      <c r="B59" s="1501" t="str">
        <f t="shared" si="0"/>
        <v>0</v>
      </c>
      <c r="C59" s="1506" t="str">
        <f>IF('F-TIV'!D56&lt;&gt;"",'F-TIV'!D56,"")</f>
        <v/>
      </c>
      <c r="D59" s="1501" t="str">
        <f>IF('F-TIV'!C56&lt;&gt;"",'F-TIV'!C56,"")</f>
        <v/>
      </c>
      <c r="E59" s="1502" t="str">
        <f>IF('F-TIV'!Q56&lt;&gt;"",'F-TIV'!Q56,"")</f>
        <v/>
      </c>
      <c r="F59" s="1502" t="str">
        <f>IF('F-TIV'!R56&lt;&gt;"",'F-TIV'!R56,"")</f>
        <v/>
      </c>
      <c r="G59" s="1505" t="str">
        <f>IF('F-TIV'!S56&lt;&gt;"",'F-TIV'!S56,"")</f>
        <v/>
      </c>
      <c r="H59" s="1501" t="str">
        <f>IF('F-TIV'!F56&lt;&gt;"",'F-TIV'!F56,"")</f>
        <v/>
      </c>
      <c r="I59" s="1500" t="str">
        <f>IF(AND(C59&lt;&gt;"",C59&lt;&gt;"Vacant",C59&lt;&gt;"Manager"),IF('F-TIV'!H56&lt;&gt;"",'F-TIV'!H56,""),"")</f>
        <v/>
      </c>
      <c r="J59" s="1500" t="str">
        <f>IF(AND(C59&lt;&gt;"",C59&lt;&gt;"Vacant",C59&lt;&gt;"Manager"),IF('F-TIV'!J56&lt;&gt;0,'F-TIV'!J56,"$0"),"")</f>
        <v/>
      </c>
      <c r="K59" s="1500" t="str">
        <f t="shared" si="1"/>
        <v/>
      </c>
      <c r="L59" s="1504" t="str">
        <f t="shared" si="2"/>
        <v/>
      </c>
      <c r="M59" s="1504" t="str">
        <f t="shared" si="3"/>
        <v/>
      </c>
      <c r="N59" s="1504" t="str">
        <f t="shared" si="4"/>
        <v/>
      </c>
      <c r="O59" s="1504" t="str">
        <f t="shared" si="5"/>
        <v/>
      </c>
      <c r="P59" s="1504" t="str">
        <f t="shared" si="6"/>
        <v/>
      </c>
      <c r="Q59" s="1504" t="str">
        <f t="shared" si="7"/>
        <v/>
      </c>
      <c r="R59" s="1504" t="str">
        <f t="shared" si="8"/>
        <v/>
      </c>
      <c r="S59" s="1504" t="str">
        <f t="shared" si="9"/>
        <v/>
      </c>
      <c r="T59" s="1504" t="str">
        <f t="shared" si="10"/>
        <v/>
      </c>
      <c r="U59" s="1504" t="str">
        <f t="shared" si="11"/>
        <v/>
      </c>
      <c r="V59" s="1503" t="str">
        <f>IF(AND(C59&lt;&gt;"",C59&lt;&gt;"Vacant",C59&lt;&gt;"Manager"),'F-TIV'!O56,"")</f>
        <v/>
      </c>
      <c r="W59" s="1502" t="str">
        <f>IF(AND(C59&lt;&gt;"",C59&lt;&gt;"Vacant",C59&lt;&gt;"Manager"),'F-TIV'!P56,"")</f>
        <v/>
      </c>
      <c r="X59" s="1498" t="str">
        <f t="shared" si="12"/>
        <v/>
      </c>
      <c r="Y59" s="1501" t="str">
        <f>IF('F-TIV'!G56&lt;&gt;"",'F-TIV'!G56,"")</f>
        <v/>
      </c>
      <c r="Z59" s="1500" t="str">
        <f>IF(AND(C59&lt;&gt;"",C59&lt;&gt;"Vacant",C59&lt;&gt;"Manager"),'F-TIV'!L56,"")</f>
        <v/>
      </c>
      <c r="AA59" s="1499" t="str">
        <f t="shared" si="13"/>
        <v/>
      </c>
      <c r="AB59" s="1498" t="str">
        <f t="shared" si="14"/>
        <v/>
      </c>
      <c r="AC59" s="1426"/>
      <c r="AD59" s="1426"/>
      <c r="AE59" s="1426"/>
      <c r="AG59" s="1497"/>
      <c r="AL59" s="1496"/>
      <c r="AN59" s="1496"/>
      <c r="AO59" s="1496"/>
      <c r="AP59" s="1496"/>
      <c r="AQ59" s="1496"/>
      <c r="AR59" s="1496"/>
    </row>
    <row r="60" spans="2:44" s="1442" customFormat="1" ht="11.25" customHeight="1">
      <c r="B60" s="1501" t="str">
        <f t="shared" si="0"/>
        <v>0</v>
      </c>
      <c r="C60" s="1506" t="str">
        <f>IF('F-TIV'!D57&lt;&gt;"",'F-TIV'!D57,"")</f>
        <v/>
      </c>
      <c r="D60" s="1501" t="str">
        <f>IF('F-TIV'!C57&lt;&gt;"",'F-TIV'!C57,"")</f>
        <v/>
      </c>
      <c r="E60" s="1502" t="str">
        <f>IF('F-TIV'!Q57&lt;&gt;"",'F-TIV'!Q57,"")</f>
        <v/>
      </c>
      <c r="F60" s="1502" t="str">
        <f>IF('F-TIV'!R57&lt;&gt;"",'F-TIV'!R57,"")</f>
        <v/>
      </c>
      <c r="G60" s="1505" t="str">
        <f>IF('F-TIV'!S57&lt;&gt;"",'F-TIV'!S57,"")</f>
        <v/>
      </c>
      <c r="H60" s="1501" t="str">
        <f>IF('F-TIV'!F57&lt;&gt;"",'F-TIV'!F57,"")</f>
        <v/>
      </c>
      <c r="I60" s="1500" t="str">
        <f>IF(AND(C60&lt;&gt;"",C60&lt;&gt;"Vacant",C60&lt;&gt;"Manager"),IF('F-TIV'!H57&lt;&gt;"",'F-TIV'!H57,""),"")</f>
        <v/>
      </c>
      <c r="J60" s="1500" t="str">
        <f>IF(AND(C60&lt;&gt;"",C60&lt;&gt;"Vacant",C60&lt;&gt;"Manager"),IF('F-TIV'!J57&lt;&gt;0,'F-TIV'!J57,"$0"),"")</f>
        <v/>
      </c>
      <c r="K60" s="1500" t="str">
        <f t="shared" si="1"/>
        <v/>
      </c>
      <c r="L60" s="1504" t="str">
        <f t="shared" si="2"/>
        <v/>
      </c>
      <c r="M60" s="1504" t="str">
        <f t="shared" si="3"/>
        <v/>
      </c>
      <c r="N60" s="1504" t="str">
        <f t="shared" si="4"/>
        <v/>
      </c>
      <c r="O60" s="1504" t="str">
        <f t="shared" si="5"/>
        <v/>
      </c>
      <c r="P60" s="1504" t="str">
        <f t="shared" si="6"/>
        <v/>
      </c>
      <c r="Q60" s="1504" t="str">
        <f t="shared" si="7"/>
        <v/>
      </c>
      <c r="R60" s="1504" t="str">
        <f t="shared" si="8"/>
        <v/>
      </c>
      <c r="S60" s="1504" t="str">
        <f t="shared" si="9"/>
        <v/>
      </c>
      <c r="T60" s="1504" t="str">
        <f t="shared" si="10"/>
        <v/>
      </c>
      <c r="U60" s="1504" t="str">
        <f t="shared" si="11"/>
        <v/>
      </c>
      <c r="V60" s="1503" t="str">
        <f>IF(AND(C60&lt;&gt;"",C60&lt;&gt;"Vacant",C60&lt;&gt;"Manager"),'F-TIV'!O57,"")</f>
        <v/>
      </c>
      <c r="W60" s="1502" t="str">
        <f>IF(AND(C60&lt;&gt;"",C60&lt;&gt;"Vacant",C60&lt;&gt;"Manager"),'F-TIV'!P57,"")</f>
        <v/>
      </c>
      <c r="X60" s="1498" t="str">
        <f t="shared" si="12"/>
        <v/>
      </c>
      <c r="Y60" s="1501" t="str">
        <f>IF('F-TIV'!G57&lt;&gt;"",'F-TIV'!G57,"")</f>
        <v/>
      </c>
      <c r="Z60" s="1500" t="str">
        <f>IF(AND(C60&lt;&gt;"",C60&lt;&gt;"Vacant",C60&lt;&gt;"Manager"),'F-TIV'!L57,"")</f>
        <v/>
      </c>
      <c r="AA60" s="1499" t="str">
        <f t="shared" si="13"/>
        <v/>
      </c>
      <c r="AB60" s="1498" t="str">
        <f t="shared" si="14"/>
        <v/>
      </c>
      <c r="AC60" s="1426"/>
      <c r="AD60" s="1426"/>
      <c r="AE60" s="1426"/>
      <c r="AG60" s="1497"/>
      <c r="AL60" s="1496"/>
      <c r="AN60" s="1496"/>
      <c r="AO60" s="1496"/>
      <c r="AP60" s="1496"/>
      <c r="AQ60" s="1496"/>
      <c r="AR60" s="1496"/>
    </row>
    <row r="61" spans="2:44" s="1442" customFormat="1" ht="11.25" customHeight="1">
      <c r="B61" s="1501" t="str">
        <f t="shared" si="0"/>
        <v>0</v>
      </c>
      <c r="C61" s="1506" t="str">
        <f>IF('F-TIV'!D58&lt;&gt;"",'F-TIV'!D58,"")</f>
        <v/>
      </c>
      <c r="D61" s="1501" t="str">
        <f>IF('F-TIV'!C58&lt;&gt;"",'F-TIV'!C58,"")</f>
        <v/>
      </c>
      <c r="E61" s="1502" t="str">
        <f>IF('F-TIV'!Q58&lt;&gt;"",'F-TIV'!Q58,"")</f>
        <v/>
      </c>
      <c r="F61" s="1502" t="str">
        <f>IF('F-TIV'!R58&lt;&gt;"",'F-TIV'!R58,"")</f>
        <v/>
      </c>
      <c r="G61" s="1505" t="str">
        <f>IF('F-TIV'!S58&lt;&gt;"",'F-TIV'!S58,"")</f>
        <v/>
      </c>
      <c r="H61" s="1501" t="str">
        <f>IF('F-TIV'!F58&lt;&gt;"",'F-TIV'!F58,"")</f>
        <v/>
      </c>
      <c r="I61" s="1500" t="str">
        <f>IF(AND(C61&lt;&gt;"",C61&lt;&gt;"Vacant",C61&lt;&gt;"Manager"),IF('F-TIV'!H58&lt;&gt;"",'F-TIV'!H58,""),"")</f>
        <v/>
      </c>
      <c r="J61" s="1500" t="str">
        <f>IF(AND(C61&lt;&gt;"",C61&lt;&gt;"Vacant",C61&lt;&gt;"Manager"),IF('F-TIV'!J58&lt;&gt;0,'F-TIV'!J58,"$0"),"")</f>
        <v/>
      </c>
      <c r="K61" s="1500" t="str">
        <f t="shared" si="1"/>
        <v/>
      </c>
      <c r="L61" s="1504" t="str">
        <f t="shared" si="2"/>
        <v/>
      </c>
      <c r="M61" s="1504" t="str">
        <f t="shared" si="3"/>
        <v/>
      </c>
      <c r="N61" s="1504" t="str">
        <f t="shared" si="4"/>
        <v/>
      </c>
      <c r="O61" s="1504" t="str">
        <f t="shared" si="5"/>
        <v/>
      </c>
      <c r="P61" s="1504" t="str">
        <f t="shared" si="6"/>
        <v/>
      </c>
      <c r="Q61" s="1504" t="str">
        <f t="shared" si="7"/>
        <v/>
      </c>
      <c r="R61" s="1504" t="str">
        <f t="shared" si="8"/>
        <v/>
      </c>
      <c r="S61" s="1504" t="str">
        <f t="shared" si="9"/>
        <v/>
      </c>
      <c r="T61" s="1504" t="str">
        <f t="shared" si="10"/>
        <v/>
      </c>
      <c r="U61" s="1504" t="str">
        <f t="shared" si="11"/>
        <v/>
      </c>
      <c r="V61" s="1503" t="str">
        <f>IF(AND(C61&lt;&gt;"",C61&lt;&gt;"Vacant",C61&lt;&gt;"Manager"),'F-TIV'!O58,"")</f>
        <v/>
      </c>
      <c r="W61" s="1502" t="str">
        <f>IF(AND(C61&lt;&gt;"",C61&lt;&gt;"Vacant",C61&lt;&gt;"Manager"),'F-TIV'!P58,"")</f>
        <v/>
      </c>
      <c r="X61" s="1498" t="str">
        <f t="shared" si="12"/>
        <v/>
      </c>
      <c r="Y61" s="1501" t="str">
        <f>IF('F-TIV'!G58&lt;&gt;"",'F-TIV'!G58,"")</f>
        <v/>
      </c>
      <c r="Z61" s="1500" t="str">
        <f>IF(AND(C61&lt;&gt;"",C61&lt;&gt;"Vacant",C61&lt;&gt;"Manager"),'F-TIV'!L58,"")</f>
        <v/>
      </c>
      <c r="AA61" s="1499" t="str">
        <f t="shared" si="13"/>
        <v/>
      </c>
      <c r="AB61" s="1498" t="str">
        <f t="shared" si="14"/>
        <v/>
      </c>
      <c r="AC61" s="1426"/>
      <c r="AD61" s="1426"/>
      <c r="AE61" s="1426"/>
      <c r="AG61" s="1497"/>
      <c r="AL61" s="1496"/>
      <c r="AN61" s="1496"/>
      <c r="AO61" s="1496"/>
      <c r="AP61" s="1496"/>
      <c r="AQ61" s="1496"/>
      <c r="AR61" s="1496"/>
    </row>
    <row r="62" spans="2:44" s="1442" customFormat="1" ht="11.25" customHeight="1">
      <c r="B62" s="1501" t="str">
        <f t="shared" ref="B62:B93" si="15">IF((C62&lt;&gt;""),"1","0")</f>
        <v>0</v>
      </c>
      <c r="C62" s="1506" t="str">
        <f>IF('F-TIV'!D59&lt;&gt;"",'F-TIV'!D59,"")</f>
        <v/>
      </c>
      <c r="D62" s="1501" t="str">
        <f>IF('F-TIV'!C59&lt;&gt;"",'F-TIV'!C59,"")</f>
        <v/>
      </c>
      <c r="E62" s="1502" t="str">
        <f>IF('F-TIV'!Q59&lt;&gt;"",'F-TIV'!Q59,"")</f>
        <v/>
      </c>
      <c r="F62" s="1502" t="str">
        <f>IF('F-TIV'!R59&lt;&gt;"",'F-TIV'!R59,"")</f>
        <v/>
      </c>
      <c r="G62" s="1505" t="str">
        <f>IF('F-TIV'!S59&lt;&gt;"",'F-TIV'!S59,"")</f>
        <v/>
      </c>
      <c r="H62" s="1501" t="str">
        <f>IF('F-TIV'!F59&lt;&gt;"",'F-TIV'!F59,"")</f>
        <v/>
      </c>
      <c r="I62" s="1500" t="str">
        <f>IF(AND(C62&lt;&gt;"",C62&lt;&gt;"Vacant",C62&lt;&gt;"Manager"),IF('F-TIV'!H59&lt;&gt;"",'F-TIV'!H59,""),"")</f>
        <v/>
      </c>
      <c r="J62" s="1500" t="str">
        <f>IF(AND(C62&lt;&gt;"",C62&lt;&gt;"Vacant",C62&lt;&gt;"Manager"),IF('F-TIV'!J59&lt;&gt;0,'F-TIV'!J59,"$0"),"")</f>
        <v/>
      </c>
      <c r="K62" s="1500" t="str">
        <f t="shared" ref="K62:K93" si="16">IFERROR(I62-J62,"")</f>
        <v/>
      </c>
      <c r="L62" s="1504" t="str">
        <f t="shared" ref="L62:L93" si="17">IF(AND(C62&lt;&gt;"Vacant",C62&lt;&gt;"Manager",C62&lt;&gt;""),IF(C62="","",IF(H62="Studio",_VLI1,IF(H62=1,_VLI2,IF(H62=2,_VLI3,IF(H62=3,_VLI5,IF(H62=4,_VLI6,IF(H62=5,_VLI7,_VLI8))))))),"")</f>
        <v/>
      </c>
      <c r="M62" s="1504" t="str">
        <f t="shared" ref="M62:M93" si="18">IF(AND(C62&lt;&gt;"Vacant",C62&lt;&gt;"",C62&lt;&gt;"Manager"),(IF(L62&gt;=K62,"Yes",IF(L62&lt;K62,"No"))),"")</f>
        <v/>
      </c>
      <c r="N62" s="1504" t="str">
        <f t="shared" ref="N62:N93" si="19">IF(AND(C62&lt;&gt;"Vacant",C62&lt;&gt;"",C62&lt;&gt;"Manager"),IF(H62="","",IF(H62="Studio",RENT1,IF(H62=1,RENT2,IF(H62=2,RENT3,IF(H62=3,RENT5,IF(H62=4,RENT6,IF(H62=5,RENT7,RENT8))))))),"")</f>
        <v/>
      </c>
      <c r="O62" s="1504" t="str">
        <f t="shared" ref="O62:O93" si="20">IF(AND(C62&lt;&gt;"Vacant",C62&lt;&gt;"",C62&lt;&gt;"Manager"),(IF(N62&gt;=K62,"Yes",IF(N62&lt;K62,"No"))),"")</f>
        <v/>
      </c>
      <c r="P62" s="1504" t="str">
        <f t="shared" ref="P62:P93" si="21">IF(AND(C62&lt;&gt;"Vacant", C62&lt;&gt;"Manager",C62&lt;&gt;""),IF(H62="","",IF(H62="Studio",RENTA1,IF(H62=1,RENTA2,IF(H62=2,RENTA3,IF(H62=3,RENTA5,IF(H62=4,RENTA6,IF(H62=5,RENTA7,RENTA8))))))),"")</f>
        <v/>
      </c>
      <c r="Q62" s="1504" t="str">
        <f t="shared" ref="Q62:Q93" si="22">IF(AND(C62&lt;&gt;"Vacant",C62&lt;&gt;"",C62&lt;&gt;"Manager"),(IF(P62&gt;=K62,"Yes",IF(P62&lt;K62,"No"))),"")</f>
        <v/>
      </c>
      <c r="R62" s="1504" t="str">
        <f t="shared" ref="R62:R93" si="23">IF(AND(C62&lt;&gt;"Vacant",C62&lt;&gt;"Manager",C62&lt;&gt;""),IF(H62="","",IF(H62="Studio",$F$16,IF(H62=1,$G$16,IF(H62=2,$H$16,IF(H62=3,$J$16,IF(H62=4,$K$16,IF(H62=5,$L$16,$M$16))))))),"")</f>
        <v/>
      </c>
      <c r="S62" s="1504" t="str">
        <f t="shared" ref="S62:S93" si="24">IF(AND(C62&lt;&gt;"Vacant",C62&lt;&gt;"",C62&lt;&gt;"Manager"),(IF(R62&gt;=K62,"Yes",IF(R62&lt;K62,"No"))),"")</f>
        <v/>
      </c>
      <c r="T62" s="1504" t="str">
        <f t="shared" ref="T62:T93" si="25">IF(AND(C62&lt;&gt;"Vacant",C62&lt;&gt;"Manager",C62&lt;&gt;""),IF(C62="","",IF(H62="Studio",$F$17,IF(H62=1,$G$17,IF(H62=2,$H$17,IF(H62=3,$J$17,IF(H62=4,$K$17,IF(H62=5,$L$17,$M$17))))))),"")</f>
        <v/>
      </c>
      <c r="U62" s="1504" t="str">
        <f t="shared" ref="U62:U93" si="26">IF(AND(C62&lt;&gt;"Vacant",C62&lt;&gt;"",C62&lt;&gt;"Manager"),(IF(T62&gt;=K62,"Yes",IF(T62&lt;K62,"No"))),"")</f>
        <v/>
      </c>
      <c r="V62" s="1503" t="str">
        <f>IF(AND(C62&lt;&gt;"",C62&lt;&gt;"Vacant",C62&lt;&gt;"Manager"),'F-TIV'!O59,"")</f>
        <v/>
      </c>
      <c r="W62" s="1502" t="str">
        <f>IF(AND(C62&lt;&gt;"",C62&lt;&gt;"Vacant",C62&lt;&gt;"Manager"),'F-TIV'!P59,"")</f>
        <v/>
      </c>
      <c r="X62" s="1498" t="str">
        <f t="shared" ref="X62:X93" si="27">IFERROR(IF(AND(C62&lt;&gt;"",C62&lt;&gt;"Vacant",C62&lt;&gt;"Manager",Z62&gt;=0),K62*12/Z62,""),"0.0%")</f>
        <v/>
      </c>
      <c r="Y62" s="1501" t="str">
        <f>IF('F-TIV'!G59&lt;&gt;"",'F-TIV'!G59,"")</f>
        <v/>
      </c>
      <c r="Z62" s="1500" t="str">
        <f>IF(AND(C62&lt;&gt;"",C62&lt;&gt;"Vacant",C62&lt;&gt;"Manager"),'F-TIV'!L59,"")</f>
        <v/>
      </c>
      <c r="AA62" s="1499" t="str">
        <f t="shared" ref="AA62:AA93" si="28">IF(AND(C62&lt;&gt;"Vacant",C62&lt;&gt;"",C62&lt;&gt;"Manager"),IF(C62=0,"",IF(Y62=1,_PER1,IF(Y62=2,_PER2,IF(Y62=3,_PER3,IF(Y62=4,_PER4,IF(Y62=5,_PER5,IF(Y62=6,_PER6,IF(Y62=7,_PER7,_PER8)))))))),"")</f>
        <v/>
      </c>
      <c r="AB62" s="1498" t="str">
        <f t="shared" ref="AB62:AB93" si="29">IFERROR(IF(AND(C62&lt;&gt;"",C62&lt;&gt;"Vacant",C62&lt;&gt;"Manager"),ROUNDDOWN(Z62/AA62,2),""),"0.0%")</f>
        <v/>
      </c>
      <c r="AC62" s="1426"/>
      <c r="AD62" s="1426"/>
      <c r="AE62" s="1426"/>
      <c r="AG62" s="1497"/>
      <c r="AL62" s="1496"/>
      <c r="AN62" s="1496"/>
      <c r="AO62" s="1496"/>
      <c r="AP62" s="1496"/>
      <c r="AQ62" s="1496"/>
      <c r="AR62" s="1496"/>
    </row>
    <row r="63" spans="2:44" s="1442" customFormat="1" ht="11.25" customHeight="1">
      <c r="B63" s="1501" t="str">
        <f t="shared" si="15"/>
        <v>0</v>
      </c>
      <c r="C63" s="1506" t="str">
        <f>IF('F-TIV'!D60&lt;&gt;"",'F-TIV'!D60,"")</f>
        <v/>
      </c>
      <c r="D63" s="1501" t="str">
        <f>IF('F-TIV'!C60&lt;&gt;"",'F-TIV'!C60,"")</f>
        <v/>
      </c>
      <c r="E63" s="1502" t="str">
        <f>IF('F-TIV'!Q60&lt;&gt;"",'F-TIV'!Q60,"")</f>
        <v/>
      </c>
      <c r="F63" s="1502" t="str">
        <f>IF('F-TIV'!R60&lt;&gt;"",'F-TIV'!R60,"")</f>
        <v/>
      </c>
      <c r="G63" s="1505" t="str">
        <f>IF('F-TIV'!S60&lt;&gt;"",'F-TIV'!S60,"")</f>
        <v/>
      </c>
      <c r="H63" s="1501" t="str">
        <f>IF('F-TIV'!F60&lt;&gt;"",'F-TIV'!F60,"")</f>
        <v/>
      </c>
      <c r="I63" s="1500" t="str">
        <f>IF(AND(C63&lt;&gt;"",C63&lt;&gt;"Vacant",C63&lt;&gt;"Manager"),IF('F-TIV'!H60&lt;&gt;"",'F-TIV'!H60,""),"")</f>
        <v/>
      </c>
      <c r="J63" s="1500" t="str">
        <f>IF(AND(C63&lt;&gt;"",C63&lt;&gt;"Vacant",C63&lt;&gt;"Manager"),IF('F-TIV'!J60&lt;&gt;0,'F-TIV'!J60,"$0"),"")</f>
        <v/>
      </c>
      <c r="K63" s="1500" t="str">
        <f t="shared" si="16"/>
        <v/>
      </c>
      <c r="L63" s="1504" t="str">
        <f t="shared" si="17"/>
        <v/>
      </c>
      <c r="M63" s="1504" t="str">
        <f t="shared" si="18"/>
        <v/>
      </c>
      <c r="N63" s="1504" t="str">
        <f t="shared" si="19"/>
        <v/>
      </c>
      <c r="O63" s="1504" t="str">
        <f t="shared" si="20"/>
        <v/>
      </c>
      <c r="P63" s="1504" t="str">
        <f t="shared" si="21"/>
        <v/>
      </c>
      <c r="Q63" s="1504" t="str">
        <f t="shared" si="22"/>
        <v/>
      </c>
      <c r="R63" s="1504" t="str">
        <f t="shared" si="23"/>
        <v/>
      </c>
      <c r="S63" s="1504" t="str">
        <f t="shared" si="24"/>
        <v/>
      </c>
      <c r="T63" s="1504" t="str">
        <f t="shared" si="25"/>
        <v/>
      </c>
      <c r="U63" s="1504" t="str">
        <f t="shared" si="26"/>
        <v/>
      </c>
      <c r="V63" s="1503" t="str">
        <f>IF(AND(C63&lt;&gt;"",C63&lt;&gt;"Vacant",C63&lt;&gt;"Manager"),'F-TIV'!O60,"")</f>
        <v/>
      </c>
      <c r="W63" s="1502" t="str">
        <f>IF(AND(C63&lt;&gt;"",C63&lt;&gt;"Vacant",C63&lt;&gt;"Manager"),'F-TIV'!P60,"")</f>
        <v/>
      </c>
      <c r="X63" s="1498" t="str">
        <f t="shared" si="27"/>
        <v/>
      </c>
      <c r="Y63" s="1501" t="str">
        <f>IF('F-TIV'!G60&lt;&gt;"",'F-TIV'!G60,"")</f>
        <v/>
      </c>
      <c r="Z63" s="1500" t="str">
        <f>IF(AND(C63&lt;&gt;"",C63&lt;&gt;"Vacant",C63&lt;&gt;"Manager"),'F-TIV'!L60,"")</f>
        <v/>
      </c>
      <c r="AA63" s="1499" t="str">
        <f t="shared" si="28"/>
        <v/>
      </c>
      <c r="AB63" s="1498" t="str">
        <f t="shared" si="29"/>
        <v/>
      </c>
      <c r="AC63" s="1426"/>
      <c r="AD63" s="1426"/>
      <c r="AE63" s="1426"/>
      <c r="AG63" s="1497"/>
      <c r="AL63" s="1496"/>
      <c r="AN63" s="1496"/>
      <c r="AO63" s="1496"/>
      <c r="AP63" s="1496"/>
      <c r="AQ63" s="1496"/>
      <c r="AR63" s="1496"/>
    </row>
    <row r="64" spans="2:44" s="1442" customFormat="1" ht="11.25" customHeight="1">
      <c r="B64" s="1501" t="str">
        <f t="shared" si="15"/>
        <v>0</v>
      </c>
      <c r="C64" s="1506" t="str">
        <f>IF('F-TIV'!D61&lt;&gt;"",'F-TIV'!D61,"")</f>
        <v/>
      </c>
      <c r="D64" s="1501" t="str">
        <f>IF('F-TIV'!C61&lt;&gt;"",'F-TIV'!C61,"")</f>
        <v/>
      </c>
      <c r="E64" s="1502" t="str">
        <f>IF('F-TIV'!Q61&lt;&gt;"",'F-TIV'!Q61,"")</f>
        <v/>
      </c>
      <c r="F64" s="1502" t="str">
        <f>IF('F-TIV'!R61&lt;&gt;"",'F-TIV'!R61,"")</f>
        <v/>
      </c>
      <c r="G64" s="1505" t="str">
        <f>IF('F-TIV'!S61&lt;&gt;"",'F-TIV'!S61,"")</f>
        <v/>
      </c>
      <c r="H64" s="1501" t="str">
        <f>IF('F-TIV'!F61&lt;&gt;"",'F-TIV'!F61,"")</f>
        <v/>
      </c>
      <c r="I64" s="1500" t="str">
        <f>IF(AND(C64&lt;&gt;"",C64&lt;&gt;"Vacant",C64&lt;&gt;"Manager"),IF('F-TIV'!H61&lt;&gt;"",'F-TIV'!H61,""),"")</f>
        <v/>
      </c>
      <c r="J64" s="1500" t="str">
        <f>IF(AND(C64&lt;&gt;"",C64&lt;&gt;"Vacant",C64&lt;&gt;"Manager"),IF('F-TIV'!J61&lt;&gt;0,'F-TIV'!J61,"$0"),"")</f>
        <v/>
      </c>
      <c r="K64" s="1500" t="str">
        <f t="shared" si="16"/>
        <v/>
      </c>
      <c r="L64" s="1504" t="str">
        <f t="shared" si="17"/>
        <v/>
      </c>
      <c r="M64" s="1504" t="str">
        <f t="shared" si="18"/>
        <v/>
      </c>
      <c r="N64" s="1504" t="str">
        <f t="shared" si="19"/>
        <v/>
      </c>
      <c r="O64" s="1504" t="str">
        <f t="shared" si="20"/>
        <v/>
      </c>
      <c r="P64" s="1504" t="str">
        <f t="shared" si="21"/>
        <v/>
      </c>
      <c r="Q64" s="1504" t="str">
        <f t="shared" si="22"/>
        <v/>
      </c>
      <c r="R64" s="1504" t="str">
        <f t="shared" si="23"/>
        <v/>
      </c>
      <c r="S64" s="1504" t="str">
        <f t="shared" si="24"/>
        <v/>
      </c>
      <c r="T64" s="1504" t="str">
        <f t="shared" si="25"/>
        <v/>
      </c>
      <c r="U64" s="1504" t="str">
        <f t="shared" si="26"/>
        <v/>
      </c>
      <c r="V64" s="1503" t="str">
        <f>IF(AND(C64&lt;&gt;"",C64&lt;&gt;"Vacant",C64&lt;&gt;"Manager"),'F-TIV'!O61,"")</f>
        <v/>
      </c>
      <c r="W64" s="1502" t="str">
        <f>IF(AND(C64&lt;&gt;"",C64&lt;&gt;"Vacant",C64&lt;&gt;"Manager"),'F-TIV'!P61,"")</f>
        <v/>
      </c>
      <c r="X64" s="1498" t="str">
        <f t="shared" si="27"/>
        <v/>
      </c>
      <c r="Y64" s="1501" t="str">
        <f>IF('F-TIV'!G61&lt;&gt;"",'F-TIV'!G61,"")</f>
        <v/>
      </c>
      <c r="Z64" s="1500" t="str">
        <f>IF(AND(C64&lt;&gt;"",C64&lt;&gt;"Vacant",C64&lt;&gt;"Manager"),'F-TIV'!L61,"")</f>
        <v/>
      </c>
      <c r="AA64" s="1499" t="str">
        <f t="shared" si="28"/>
        <v/>
      </c>
      <c r="AB64" s="1498" t="str">
        <f t="shared" si="29"/>
        <v/>
      </c>
      <c r="AC64" s="1426"/>
      <c r="AD64" s="1426"/>
      <c r="AE64" s="1426"/>
      <c r="AG64" s="1497"/>
      <c r="AL64" s="1496"/>
      <c r="AN64" s="1496"/>
      <c r="AO64" s="1496"/>
      <c r="AP64" s="1496"/>
      <c r="AQ64" s="1496"/>
      <c r="AR64" s="1496"/>
    </row>
    <row r="65" spans="2:44" s="1442" customFormat="1" ht="11.25" customHeight="1">
      <c r="B65" s="1501" t="str">
        <f t="shared" si="15"/>
        <v>0</v>
      </c>
      <c r="C65" s="1506" t="str">
        <f>IF('F-TIV'!D62&lt;&gt;"",'F-TIV'!D62,"")</f>
        <v/>
      </c>
      <c r="D65" s="1501" t="str">
        <f>IF('F-TIV'!C62&lt;&gt;"",'F-TIV'!C62,"")</f>
        <v/>
      </c>
      <c r="E65" s="1502" t="str">
        <f>IF('F-TIV'!Q62&lt;&gt;"",'F-TIV'!Q62,"")</f>
        <v/>
      </c>
      <c r="F65" s="1502" t="str">
        <f>IF('F-TIV'!R62&lt;&gt;"",'F-TIV'!R62,"")</f>
        <v/>
      </c>
      <c r="G65" s="1505" t="str">
        <f>IF('F-TIV'!S62&lt;&gt;"",'F-TIV'!S62,"")</f>
        <v/>
      </c>
      <c r="H65" s="1501" t="str">
        <f>IF('F-TIV'!F62&lt;&gt;"",'F-TIV'!F62,"")</f>
        <v/>
      </c>
      <c r="I65" s="1500" t="str">
        <f>IF(AND(C65&lt;&gt;"",C65&lt;&gt;"Vacant",C65&lt;&gt;"Manager"),IF('F-TIV'!H62&lt;&gt;"",'F-TIV'!H62,""),"")</f>
        <v/>
      </c>
      <c r="J65" s="1500" t="str">
        <f>IF(AND(C65&lt;&gt;"",C65&lt;&gt;"Vacant",C65&lt;&gt;"Manager"),IF('F-TIV'!J62&lt;&gt;0,'F-TIV'!J62,"$0"),"")</f>
        <v/>
      </c>
      <c r="K65" s="1500" t="str">
        <f t="shared" si="16"/>
        <v/>
      </c>
      <c r="L65" s="1504" t="str">
        <f t="shared" si="17"/>
        <v/>
      </c>
      <c r="M65" s="1504" t="str">
        <f t="shared" si="18"/>
        <v/>
      </c>
      <c r="N65" s="1504" t="str">
        <f t="shared" si="19"/>
        <v/>
      </c>
      <c r="O65" s="1504" t="str">
        <f t="shared" si="20"/>
        <v/>
      </c>
      <c r="P65" s="1504" t="str">
        <f t="shared" si="21"/>
        <v/>
      </c>
      <c r="Q65" s="1504" t="str">
        <f t="shared" si="22"/>
        <v/>
      </c>
      <c r="R65" s="1504" t="str">
        <f t="shared" si="23"/>
        <v/>
      </c>
      <c r="S65" s="1504" t="str">
        <f t="shared" si="24"/>
        <v/>
      </c>
      <c r="T65" s="1504" t="str">
        <f t="shared" si="25"/>
        <v/>
      </c>
      <c r="U65" s="1504" t="str">
        <f t="shared" si="26"/>
        <v/>
      </c>
      <c r="V65" s="1503" t="str">
        <f>IF(AND(C65&lt;&gt;"",C65&lt;&gt;"Vacant",C65&lt;&gt;"Manager"),'F-TIV'!O62,"")</f>
        <v/>
      </c>
      <c r="W65" s="1502" t="str">
        <f>IF(AND(C65&lt;&gt;"",C65&lt;&gt;"Vacant",C65&lt;&gt;"Manager"),'F-TIV'!P62,"")</f>
        <v/>
      </c>
      <c r="X65" s="1498" t="str">
        <f t="shared" si="27"/>
        <v/>
      </c>
      <c r="Y65" s="1501" t="str">
        <f>IF('F-TIV'!G62&lt;&gt;"",'F-TIV'!G62,"")</f>
        <v/>
      </c>
      <c r="Z65" s="1500" t="str">
        <f>IF(AND(C65&lt;&gt;"",C65&lt;&gt;"Vacant",C65&lt;&gt;"Manager"),'F-TIV'!L62,"")</f>
        <v/>
      </c>
      <c r="AA65" s="1499" t="str">
        <f t="shared" si="28"/>
        <v/>
      </c>
      <c r="AB65" s="1498" t="str">
        <f t="shared" si="29"/>
        <v/>
      </c>
      <c r="AC65" s="1426"/>
      <c r="AD65" s="1426"/>
      <c r="AE65" s="1426"/>
      <c r="AG65" s="1497"/>
      <c r="AL65" s="1496"/>
      <c r="AN65" s="1496"/>
      <c r="AO65" s="1496"/>
      <c r="AP65" s="1496"/>
      <c r="AQ65" s="1496"/>
      <c r="AR65" s="1496"/>
    </row>
    <row r="66" spans="2:44" s="1442" customFormat="1" ht="11.25" customHeight="1">
      <c r="B66" s="1501" t="str">
        <f t="shared" si="15"/>
        <v>0</v>
      </c>
      <c r="C66" s="1506" t="str">
        <f>IF('F-TIV'!D63&lt;&gt;"",'F-TIV'!D63,"")</f>
        <v/>
      </c>
      <c r="D66" s="1501" t="str">
        <f>IF('F-TIV'!C63&lt;&gt;"",'F-TIV'!C63,"")</f>
        <v/>
      </c>
      <c r="E66" s="1502" t="str">
        <f>IF('F-TIV'!Q63&lt;&gt;"",'F-TIV'!Q63,"")</f>
        <v/>
      </c>
      <c r="F66" s="1502" t="str">
        <f>IF('F-TIV'!R63&lt;&gt;"",'F-TIV'!R63,"")</f>
        <v/>
      </c>
      <c r="G66" s="1505" t="str">
        <f>IF('F-TIV'!S63&lt;&gt;"",'F-TIV'!S63,"")</f>
        <v/>
      </c>
      <c r="H66" s="1501" t="str">
        <f>IF('F-TIV'!F63&lt;&gt;"",'F-TIV'!F63,"")</f>
        <v/>
      </c>
      <c r="I66" s="1500" t="str">
        <f>IF(AND(C66&lt;&gt;"",C66&lt;&gt;"Vacant",C66&lt;&gt;"Manager"),IF('F-TIV'!H63&lt;&gt;"",'F-TIV'!H63,""),"")</f>
        <v/>
      </c>
      <c r="J66" s="1500" t="str">
        <f>IF(AND(C66&lt;&gt;"",C66&lt;&gt;"Vacant",C66&lt;&gt;"Manager"),IF('F-TIV'!J63&lt;&gt;0,'F-TIV'!J63,"$0"),"")</f>
        <v/>
      </c>
      <c r="K66" s="1500" t="str">
        <f t="shared" si="16"/>
        <v/>
      </c>
      <c r="L66" s="1504" t="str">
        <f t="shared" si="17"/>
        <v/>
      </c>
      <c r="M66" s="1504" t="str">
        <f t="shared" si="18"/>
        <v/>
      </c>
      <c r="N66" s="1504" t="str">
        <f t="shared" si="19"/>
        <v/>
      </c>
      <c r="O66" s="1504" t="str">
        <f t="shared" si="20"/>
        <v/>
      </c>
      <c r="P66" s="1504" t="str">
        <f t="shared" si="21"/>
        <v/>
      </c>
      <c r="Q66" s="1504" t="str">
        <f t="shared" si="22"/>
        <v/>
      </c>
      <c r="R66" s="1504" t="str">
        <f t="shared" si="23"/>
        <v/>
      </c>
      <c r="S66" s="1504" t="str">
        <f t="shared" si="24"/>
        <v/>
      </c>
      <c r="T66" s="1504" t="str">
        <f t="shared" si="25"/>
        <v/>
      </c>
      <c r="U66" s="1504" t="str">
        <f t="shared" si="26"/>
        <v/>
      </c>
      <c r="V66" s="1503" t="str">
        <f>IF(AND(C66&lt;&gt;"",C66&lt;&gt;"Vacant",C66&lt;&gt;"Manager"),'F-TIV'!O63,"")</f>
        <v/>
      </c>
      <c r="W66" s="1502" t="str">
        <f>IF(AND(C66&lt;&gt;"",C66&lt;&gt;"Vacant",C66&lt;&gt;"Manager"),'F-TIV'!P63,"")</f>
        <v/>
      </c>
      <c r="X66" s="1498" t="str">
        <f t="shared" si="27"/>
        <v/>
      </c>
      <c r="Y66" s="1501" t="str">
        <f>IF('F-TIV'!G63&lt;&gt;"",'F-TIV'!G63,"")</f>
        <v/>
      </c>
      <c r="Z66" s="1500" t="str">
        <f>IF(AND(C66&lt;&gt;"",C66&lt;&gt;"Vacant",C66&lt;&gt;"Manager"),'F-TIV'!L63,"")</f>
        <v/>
      </c>
      <c r="AA66" s="1499" t="str">
        <f t="shared" si="28"/>
        <v/>
      </c>
      <c r="AB66" s="1498" t="str">
        <f t="shared" si="29"/>
        <v/>
      </c>
      <c r="AC66" s="1426"/>
      <c r="AD66" s="1426"/>
      <c r="AE66" s="1426"/>
      <c r="AG66" s="1497"/>
      <c r="AL66" s="1496"/>
      <c r="AN66" s="1496"/>
      <c r="AO66" s="1496"/>
      <c r="AP66" s="1496"/>
      <c r="AQ66" s="1496"/>
      <c r="AR66" s="1496"/>
    </row>
    <row r="67" spans="2:44" s="1442" customFormat="1" ht="11.25" customHeight="1">
      <c r="B67" s="1501" t="str">
        <f t="shared" si="15"/>
        <v>0</v>
      </c>
      <c r="C67" s="1506" t="str">
        <f>IF('F-TIV'!D64&lt;&gt;"",'F-TIV'!D64,"")</f>
        <v/>
      </c>
      <c r="D67" s="1501" t="str">
        <f>IF('F-TIV'!C64&lt;&gt;"",'F-TIV'!C64,"")</f>
        <v/>
      </c>
      <c r="E67" s="1502" t="str">
        <f>IF('F-TIV'!Q64&lt;&gt;"",'F-TIV'!Q64,"")</f>
        <v/>
      </c>
      <c r="F67" s="1502" t="str">
        <f>IF('F-TIV'!R64&lt;&gt;"",'F-TIV'!R64,"")</f>
        <v/>
      </c>
      <c r="G67" s="1505" t="str">
        <f>IF('F-TIV'!S64&lt;&gt;"",'F-TIV'!S64,"")</f>
        <v/>
      </c>
      <c r="H67" s="1501" t="str">
        <f>IF('F-TIV'!F64&lt;&gt;"",'F-TIV'!F64,"")</f>
        <v/>
      </c>
      <c r="I67" s="1500" t="str">
        <f>IF(AND(C67&lt;&gt;"",C67&lt;&gt;"Vacant",C67&lt;&gt;"Manager"),IF('F-TIV'!H64&lt;&gt;"",'F-TIV'!H64,""),"")</f>
        <v/>
      </c>
      <c r="J67" s="1500" t="str">
        <f>IF(AND(C67&lt;&gt;"",C67&lt;&gt;"Vacant",C67&lt;&gt;"Manager"),IF('F-TIV'!J64&lt;&gt;0,'F-TIV'!J64,"$0"),"")</f>
        <v/>
      </c>
      <c r="K67" s="1500" t="str">
        <f t="shared" si="16"/>
        <v/>
      </c>
      <c r="L67" s="1504" t="str">
        <f t="shared" si="17"/>
        <v/>
      </c>
      <c r="M67" s="1504" t="str">
        <f t="shared" si="18"/>
        <v/>
      </c>
      <c r="N67" s="1504" t="str">
        <f t="shared" si="19"/>
        <v/>
      </c>
      <c r="O67" s="1504" t="str">
        <f t="shared" si="20"/>
        <v/>
      </c>
      <c r="P67" s="1504" t="str">
        <f t="shared" si="21"/>
        <v/>
      </c>
      <c r="Q67" s="1504" t="str">
        <f t="shared" si="22"/>
        <v/>
      </c>
      <c r="R67" s="1504" t="str">
        <f t="shared" si="23"/>
        <v/>
      </c>
      <c r="S67" s="1504" t="str">
        <f t="shared" si="24"/>
        <v/>
      </c>
      <c r="T67" s="1504" t="str">
        <f t="shared" si="25"/>
        <v/>
      </c>
      <c r="U67" s="1504" t="str">
        <f t="shared" si="26"/>
        <v/>
      </c>
      <c r="V67" s="1503" t="str">
        <f>IF(AND(C67&lt;&gt;"",C67&lt;&gt;"Vacant",C67&lt;&gt;"Manager"),'F-TIV'!O64,"")</f>
        <v/>
      </c>
      <c r="W67" s="1502" t="str">
        <f>IF(AND(C67&lt;&gt;"",C67&lt;&gt;"Vacant",C67&lt;&gt;"Manager"),'F-TIV'!P64,"")</f>
        <v/>
      </c>
      <c r="X67" s="1498" t="str">
        <f t="shared" si="27"/>
        <v/>
      </c>
      <c r="Y67" s="1501" t="str">
        <f>IF('F-TIV'!G64&lt;&gt;"",'F-TIV'!G64,"")</f>
        <v/>
      </c>
      <c r="Z67" s="1500" t="str">
        <f>IF(AND(C67&lt;&gt;"",C67&lt;&gt;"Vacant",C67&lt;&gt;"Manager"),'F-TIV'!L64,"")</f>
        <v/>
      </c>
      <c r="AA67" s="1499" t="str">
        <f t="shared" si="28"/>
        <v/>
      </c>
      <c r="AB67" s="1498" t="str">
        <f t="shared" si="29"/>
        <v/>
      </c>
      <c r="AC67" s="1426"/>
      <c r="AD67" s="1426"/>
      <c r="AE67" s="1426"/>
      <c r="AG67" s="1497"/>
      <c r="AL67" s="1496"/>
      <c r="AN67" s="1496"/>
      <c r="AO67" s="1496"/>
      <c r="AP67" s="1496"/>
      <c r="AQ67" s="1496"/>
      <c r="AR67" s="1496"/>
    </row>
    <row r="68" spans="2:44" s="1442" customFormat="1" ht="11.25" customHeight="1">
      <c r="B68" s="1501" t="str">
        <f t="shared" si="15"/>
        <v>0</v>
      </c>
      <c r="C68" s="1506" t="str">
        <f>IF('F-TIV'!D65&lt;&gt;"",'F-TIV'!D65,"")</f>
        <v/>
      </c>
      <c r="D68" s="1501" t="str">
        <f>IF('F-TIV'!C65&lt;&gt;"",'F-TIV'!C65,"")</f>
        <v/>
      </c>
      <c r="E68" s="1502" t="str">
        <f>IF('F-TIV'!Q65&lt;&gt;"",'F-TIV'!Q65,"")</f>
        <v/>
      </c>
      <c r="F68" s="1502" t="str">
        <f>IF('F-TIV'!R65&lt;&gt;"",'F-TIV'!R65,"")</f>
        <v/>
      </c>
      <c r="G68" s="1505" t="str">
        <f>IF('F-TIV'!S65&lt;&gt;"",'F-TIV'!S65,"")</f>
        <v/>
      </c>
      <c r="H68" s="1501" t="str">
        <f>IF('F-TIV'!F65&lt;&gt;"",'F-TIV'!F65,"")</f>
        <v/>
      </c>
      <c r="I68" s="1500" t="str">
        <f>IF(AND(C68&lt;&gt;"",C68&lt;&gt;"Vacant",C68&lt;&gt;"Manager"),IF('F-TIV'!H65&lt;&gt;"",'F-TIV'!H65,""),"")</f>
        <v/>
      </c>
      <c r="J68" s="1500" t="str">
        <f>IF(AND(C68&lt;&gt;"",C68&lt;&gt;"Vacant",C68&lt;&gt;"Manager"),IF('F-TIV'!J65&lt;&gt;0,'F-TIV'!J65,"$0"),"")</f>
        <v/>
      </c>
      <c r="K68" s="1500" t="str">
        <f t="shared" si="16"/>
        <v/>
      </c>
      <c r="L68" s="1504" t="str">
        <f t="shared" si="17"/>
        <v/>
      </c>
      <c r="M68" s="1504" t="str">
        <f t="shared" si="18"/>
        <v/>
      </c>
      <c r="N68" s="1504" t="str">
        <f t="shared" si="19"/>
        <v/>
      </c>
      <c r="O68" s="1504" t="str">
        <f t="shared" si="20"/>
        <v/>
      </c>
      <c r="P68" s="1504" t="str">
        <f t="shared" si="21"/>
        <v/>
      </c>
      <c r="Q68" s="1504" t="str">
        <f t="shared" si="22"/>
        <v/>
      </c>
      <c r="R68" s="1504" t="str">
        <f t="shared" si="23"/>
        <v/>
      </c>
      <c r="S68" s="1504" t="str">
        <f t="shared" si="24"/>
        <v/>
      </c>
      <c r="T68" s="1504" t="str">
        <f t="shared" si="25"/>
        <v/>
      </c>
      <c r="U68" s="1504" t="str">
        <f t="shared" si="26"/>
        <v/>
      </c>
      <c r="V68" s="1503" t="str">
        <f>IF(AND(C68&lt;&gt;"",C68&lt;&gt;"Vacant",C68&lt;&gt;"Manager"),'F-TIV'!O65,"")</f>
        <v/>
      </c>
      <c r="W68" s="1502" t="str">
        <f>IF(AND(C68&lt;&gt;"",C68&lt;&gt;"Vacant",C68&lt;&gt;"Manager"),'F-TIV'!P65,"")</f>
        <v/>
      </c>
      <c r="X68" s="1498" t="str">
        <f t="shared" si="27"/>
        <v/>
      </c>
      <c r="Y68" s="1501" t="str">
        <f>IF('F-TIV'!G65&lt;&gt;"",'F-TIV'!G65,"")</f>
        <v/>
      </c>
      <c r="Z68" s="1500" t="str">
        <f>IF(AND(C68&lt;&gt;"",C68&lt;&gt;"Vacant",C68&lt;&gt;"Manager"),'F-TIV'!L65,"")</f>
        <v/>
      </c>
      <c r="AA68" s="1499" t="str">
        <f t="shared" si="28"/>
        <v/>
      </c>
      <c r="AB68" s="1498" t="str">
        <f t="shared" si="29"/>
        <v/>
      </c>
      <c r="AC68" s="1426"/>
      <c r="AD68" s="1426"/>
      <c r="AE68" s="1426"/>
      <c r="AG68" s="1497"/>
      <c r="AL68" s="1496"/>
      <c r="AN68" s="1496"/>
      <c r="AO68" s="1496"/>
      <c r="AP68" s="1496"/>
      <c r="AQ68" s="1496"/>
      <c r="AR68" s="1496"/>
    </row>
    <row r="69" spans="2:44" s="1442" customFormat="1" ht="11.25" customHeight="1">
      <c r="B69" s="1501" t="str">
        <f t="shared" si="15"/>
        <v>0</v>
      </c>
      <c r="C69" s="1506" t="str">
        <f>IF('F-TIV'!D66&lt;&gt;"",'F-TIV'!D66,"")</f>
        <v/>
      </c>
      <c r="D69" s="1501" t="str">
        <f>IF('F-TIV'!C66&lt;&gt;"",'F-TIV'!C66,"")</f>
        <v/>
      </c>
      <c r="E69" s="1502" t="str">
        <f>IF('F-TIV'!Q66&lt;&gt;"",'F-TIV'!Q66,"")</f>
        <v/>
      </c>
      <c r="F69" s="1502" t="str">
        <f>IF('F-TIV'!R66&lt;&gt;"",'F-TIV'!R66,"")</f>
        <v/>
      </c>
      <c r="G69" s="1505" t="str">
        <f>IF('F-TIV'!S66&lt;&gt;"",'F-TIV'!S66,"")</f>
        <v/>
      </c>
      <c r="H69" s="1501" t="str">
        <f>IF('F-TIV'!F66&lt;&gt;"",'F-TIV'!F66,"")</f>
        <v/>
      </c>
      <c r="I69" s="1500" t="str">
        <f>IF(AND(C69&lt;&gt;"",C69&lt;&gt;"Vacant",C69&lt;&gt;"Manager"),IF('F-TIV'!H66&lt;&gt;"",'F-TIV'!H66,""),"")</f>
        <v/>
      </c>
      <c r="J69" s="1500" t="str">
        <f>IF(AND(C69&lt;&gt;"",C69&lt;&gt;"Vacant",C69&lt;&gt;"Manager"),IF('F-TIV'!J66&lt;&gt;0,'F-TIV'!J66,"$0"),"")</f>
        <v/>
      </c>
      <c r="K69" s="1500" t="str">
        <f t="shared" si="16"/>
        <v/>
      </c>
      <c r="L69" s="1504" t="str">
        <f t="shared" si="17"/>
        <v/>
      </c>
      <c r="M69" s="1504" t="str">
        <f t="shared" si="18"/>
        <v/>
      </c>
      <c r="N69" s="1504" t="str">
        <f t="shared" si="19"/>
        <v/>
      </c>
      <c r="O69" s="1504" t="str">
        <f t="shared" si="20"/>
        <v/>
      </c>
      <c r="P69" s="1504" t="str">
        <f t="shared" si="21"/>
        <v/>
      </c>
      <c r="Q69" s="1504" t="str">
        <f t="shared" si="22"/>
        <v/>
      </c>
      <c r="R69" s="1504" t="str">
        <f t="shared" si="23"/>
        <v/>
      </c>
      <c r="S69" s="1504" t="str">
        <f t="shared" si="24"/>
        <v/>
      </c>
      <c r="T69" s="1504" t="str">
        <f t="shared" si="25"/>
        <v/>
      </c>
      <c r="U69" s="1504" t="str">
        <f t="shared" si="26"/>
        <v/>
      </c>
      <c r="V69" s="1503" t="str">
        <f>IF(AND(C69&lt;&gt;"",C69&lt;&gt;"Vacant",C69&lt;&gt;"Manager"),'F-TIV'!O66,"")</f>
        <v/>
      </c>
      <c r="W69" s="1502" t="str">
        <f>IF(AND(C69&lt;&gt;"",C69&lt;&gt;"Vacant",C69&lt;&gt;"Manager"),'F-TIV'!P66,"")</f>
        <v/>
      </c>
      <c r="X69" s="1498" t="str">
        <f t="shared" si="27"/>
        <v/>
      </c>
      <c r="Y69" s="1501" t="str">
        <f>IF('F-TIV'!G66&lt;&gt;"",'F-TIV'!G66,"")</f>
        <v/>
      </c>
      <c r="Z69" s="1500" t="str">
        <f>IF(AND(C69&lt;&gt;"",C69&lt;&gt;"Vacant",C69&lt;&gt;"Manager"),'F-TIV'!L66,"")</f>
        <v/>
      </c>
      <c r="AA69" s="1499" t="str">
        <f t="shared" si="28"/>
        <v/>
      </c>
      <c r="AB69" s="1498" t="str">
        <f t="shared" si="29"/>
        <v/>
      </c>
      <c r="AC69" s="1426"/>
      <c r="AD69" s="1426"/>
      <c r="AE69" s="1426"/>
      <c r="AG69" s="1497"/>
      <c r="AL69" s="1496"/>
      <c r="AN69" s="1496"/>
      <c r="AO69" s="1496"/>
      <c r="AP69" s="1496"/>
      <c r="AQ69" s="1496"/>
      <c r="AR69" s="1496"/>
    </row>
    <row r="70" spans="2:44" s="1442" customFormat="1" ht="11.25" customHeight="1">
      <c r="B70" s="1501" t="str">
        <f t="shared" si="15"/>
        <v>0</v>
      </c>
      <c r="C70" s="1506" t="str">
        <f>IF('F-TIV'!D67&lt;&gt;"",'F-TIV'!D67,"")</f>
        <v/>
      </c>
      <c r="D70" s="1501" t="str">
        <f>IF('F-TIV'!C67&lt;&gt;"",'F-TIV'!C67,"")</f>
        <v/>
      </c>
      <c r="E70" s="1502" t="str">
        <f>IF('F-TIV'!Q67&lt;&gt;"",'F-TIV'!Q67,"")</f>
        <v/>
      </c>
      <c r="F70" s="1502" t="str">
        <f>IF('F-TIV'!R67&lt;&gt;"",'F-TIV'!R67,"")</f>
        <v/>
      </c>
      <c r="G70" s="1505" t="str">
        <f>IF('F-TIV'!S67&lt;&gt;"",'F-TIV'!S67,"")</f>
        <v/>
      </c>
      <c r="H70" s="1501" t="str">
        <f>IF('F-TIV'!F67&lt;&gt;"",'F-TIV'!F67,"")</f>
        <v/>
      </c>
      <c r="I70" s="1500" t="str">
        <f>IF(AND(C70&lt;&gt;"",C70&lt;&gt;"Vacant",C70&lt;&gt;"Manager"),IF('F-TIV'!H67&lt;&gt;"",'F-TIV'!H67,""),"")</f>
        <v/>
      </c>
      <c r="J70" s="1500" t="str">
        <f>IF(AND(C70&lt;&gt;"",C70&lt;&gt;"Vacant",C70&lt;&gt;"Manager"),IF('F-TIV'!J67&lt;&gt;0,'F-TIV'!J67,"$0"),"")</f>
        <v/>
      </c>
      <c r="K70" s="1500" t="str">
        <f t="shared" si="16"/>
        <v/>
      </c>
      <c r="L70" s="1504" t="str">
        <f t="shared" si="17"/>
        <v/>
      </c>
      <c r="M70" s="1504" t="str">
        <f t="shared" si="18"/>
        <v/>
      </c>
      <c r="N70" s="1504" t="str">
        <f t="shared" si="19"/>
        <v/>
      </c>
      <c r="O70" s="1504" t="str">
        <f t="shared" si="20"/>
        <v/>
      </c>
      <c r="P70" s="1504" t="str">
        <f t="shared" si="21"/>
        <v/>
      </c>
      <c r="Q70" s="1504" t="str">
        <f t="shared" si="22"/>
        <v/>
      </c>
      <c r="R70" s="1504" t="str">
        <f t="shared" si="23"/>
        <v/>
      </c>
      <c r="S70" s="1504" t="str">
        <f t="shared" si="24"/>
        <v/>
      </c>
      <c r="T70" s="1504" t="str">
        <f t="shared" si="25"/>
        <v/>
      </c>
      <c r="U70" s="1504" t="str">
        <f t="shared" si="26"/>
        <v/>
      </c>
      <c r="V70" s="1503" t="str">
        <f>IF(AND(C70&lt;&gt;"",C70&lt;&gt;"Vacant",C70&lt;&gt;"Manager"),'F-TIV'!O67,"")</f>
        <v/>
      </c>
      <c r="W70" s="1502" t="str">
        <f>IF(AND(C70&lt;&gt;"",C70&lt;&gt;"Vacant",C70&lt;&gt;"Manager"),'F-TIV'!P67,"")</f>
        <v/>
      </c>
      <c r="X70" s="1498" t="str">
        <f t="shared" si="27"/>
        <v/>
      </c>
      <c r="Y70" s="1501" t="str">
        <f>IF('F-TIV'!G67&lt;&gt;"",'F-TIV'!G67,"")</f>
        <v/>
      </c>
      <c r="Z70" s="1500" t="str">
        <f>IF(AND(C70&lt;&gt;"",C70&lt;&gt;"Vacant",C70&lt;&gt;"Manager"),'F-TIV'!L67,"")</f>
        <v/>
      </c>
      <c r="AA70" s="1499" t="str">
        <f t="shared" si="28"/>
        <v/>
      </c>
      <c r="AB70" s="1498" t="str">
        <f t="shared" si="29"/>
        <v/>
      </c>
      <c r="AC70" s="1426"/>
      <c r="AD70" s="1426"/>
      <c r="AE70" s="1426"/>
      <c r="AG70" s="1497"/>
      <c r="AL70" s="1496"/>
      <c r="AN70" s="1496"/>
      <c r="AO70" s="1496"/>
      <c r="AP70" s="1496"/>
      <c r="AQ70" s="1496"/>
      <c r="AR70" s="1496"/>
    </row>
    <row r="71" spans="2:44" s="1442" customFormat="1" ht="11.25" customHeight="1">
      <c r="B71" s="1501" t="str">
        <f t="shared" si="15"/>
        <v>0</v>
      </c>
      <c r="C71" s="1506" t="str">
        <f>IF('F-TIV'!D68&lt;&gt;"",'F-TIV'!D68,"")</f>
        <v/>
      </c>
      <c r="D71" s="1501" t="str">
        <f>IF('F-TIV'!C68&lt;&gt;"",'F-TIV'!C68,"")</f>
        <v/>
      </c>
      <c r="E71" s="1502" t="str">
        <f>IF('F-TIV'!Q68&lt;&gt;"",'F-TIV'!Q68,"")</f>
        <v/>
      </c>
      <c r="F71" s="1502" t="str">
        <f>IF('F-TIV'!R68&lt;&gt;"",'F-TIV'!R68,"")</f>
        <v/>
      </c>
      <c r="G71" s="1505" t="str">
        <f>IF('F-TIV'!S68&lt;&gt;"",'F-TIV'!S68,"")</f>
        <v/>
      </c>
      <c r="H71" s="1501" t="str">
        <f>IF('F-TIV'!F68&lt;&gt;"",'F-TIV'!F68,"")</f>
        <v/>
      </c>
      <c r="I71" s="1500" t="str">
        <f>IF(AND(C71&lt;&gt;"",C71&lt;&gt;"Vacant",C71&lt;&gt;"Manager"),IF('F-TIV'!H68&lt;&gt;"",'F-TIV'!H68,""),"")</f>
        <v/>
      </c>
      <c r="J71" s="1500" t="str">
        <f>IF(AND(C71&lt;&gt;"",C71&lt;&gt;"Vacant",C71&lt;&gt;"Manager"),IF('F-TIV'!J68&lt;&gt;0,'F-TIV'!J68,"$0"),"")</f>
        <v/>
      </c>
      <c r="K71" s="1500" t="str">
        <f t="shared" si="16"/>
        <v/>
      </c>
      <c r="L71" s="1504" t="str">
        <f t="shared" si="17"/>
        <v/>
      </c>
      <c r="M71" s="1504" t="str">
        <f t="shared" si="18"/>
        <v/>
      </c>
      <c r="N71" s="1504" t="str">
        <f t="shared" si="19"/>
        <v/>
      </c>
      <c r="O71" s="1504" t="str">
        <f t="shared" si="20"/>
        <v/>
      </c>
      <c r="P71" s="1504" t="str">
        <f t="shared" si="21"/>
        <v/>
      </c>
      <c r="Q71" s="1504" t="str">
        <f t="shared" si="22"/>
        <v/>
      </c>
      <c r="R71" s="1504" t="str">
        <f t="shared" si="23"/>
        <v/>
      </c>
      <c r="S71" s="1504" t="str">
        <f t="shared" si="24"/>
        <v/>
      </c>
      <c r="T71" s="1504" t="str">
        <f t="shared" si="25"/>
        <v/>
      </c>
      <c r="U71" s="1504" t="str">
        <f t="shared" si="26"/>
        <v/>
      </c>
      <c r="V71" s="1503" t="str">
        <f>IF(AND(C71&lt;&gt;"",C71&lt;&gt;"Vacant",C71&lt;&gt;"Manager"),'F-TIV'!O68,"")</f>
        <v/>
      </c>
      <c r="W71" s="1502" t="str">
        <f>IF(AND(C71&lt;&gt;"",C71&lt;&gt;"Vacant",C71&lt;&gt;"Manager"),'F-TIV'!P68,"")</f>
        <v/>
      </c>
      <c r="X71" s="1498" t="str">
        <f t="shared" si="27"/>
        <v/>
      </c>
      <c r="Y71" s="1501" t="str">
        <f>IF('F-TIV'!G68&lt;&gt;"",'F-TIV'!G68,"")</f>
        <v/>
      </c>
      <c r="Z71" s="1500" t="str">
        <f>IF(AND(C71&lt;&gt;"",C71&lt;&gt;"Vacant",C71&lt;&gt;"Manager"),'F-TIV'!L68,"")</f>
        <v/>
      </c>
      <c r="AA71" s="1499" t="str">
        <f t="shared" si="28"/>
        <v/>
      </c>
      <c r="AB71" s="1498" t="str">
        <f t="shared" si="29"/>
        <v/>
      </c>
      <c r="AC71" s="1426"/>
      <c r="AD71" s="1426"/>
      <c r="AE71" s="1426"/>
      <c r="AG71" s="1497"/>
      <c r="AL71" s="1496"/>
      <c r="AN71" s="1496"/>
      <c r="AO71" s="1496"/>
      <c r="AP71" s="1496"/>
      <c r="AQ71" s="1496"/>
      <c r="AR71" s="1496"/>
    </row>
    <row r="72" spans="2:44" s="1442" customFormat="1" ht="11.25" customHeight="1">
      <c r="B72" s="1501" t="str">
        <f t="shared" si="15"/>
        <v>0</v>
      </c>
      <c r="C72" s="1506" t="str">
        <f>IF('F-TIV'!D69&lt;&gt;"",'F-TIV'!D69,"")</f>
        <v/>
      </c>
      <c r="D72" s="1501" t="str">
        <f>IF('F-TIV'!C69&lt;&gt;"",'F-TIV'!C69,"")</f>
        <v/>
      </c>
      <c r="E72" s="1502" t="str">
        <f>IF('F-TIV'!Q69&lt;&gt;"",'F-TIV'!Q69,"")</f>
        <v/>
      </c>
      <c r="F72" s="1502" t="str">
        <f>IF('F-TIV'!R69&lt;&gt;"",'F-TIV'!R69,"")</f>
        <v/>
      </c>
      <c r="G72" s="1505" t="str">
        <f>IF('F-TIV'!S69&lt;&gt;"",'F-TIV'!S69,"")</f>
        <v/>
      </c>
      <c r="H72" s="1501" t="str">
        <f>IF('F-TIV'!F69&lt;&gt;"",'F-TIV'!F69,"")</f>
        <v/>
      </c>
      <c r="I72" s="1500" t="str">
        <f>IF(AND(C72&lt;&gt;"",C72&lt;&gt;"Vacant",C72&lt;&gt;"Manager"),IF('F-TIV'!H69&lt;&gt;"",'F-TIV'!H69,""),"")</f>
        <v/>
      </c>
      <c r="J72" s="1500" t="str">
        <f>IF(AND(C72&lt;&gt;"",C72&lt;&gt;"Vacant",C72&lt;&gt;"Manager"),IF('F-TIV'!J69&lt;&gt;0,'F-TIV'!J69,"$0"),"")</f>
        <v/>
      </c>
      <c r="K72" s="1500" t="str">
        <f t="shared" si="16"/>
        <v/>
      </c>
      <c r="L72" s="1504" t="str">
        <f t="shared" si="17"/>
        <v/>
      </c>
      <c r="M72" s="1504" t="str">
        <f t="shared" si="18"/>
        <v/>
      </c>
      <c r="N72" s="1504" t="str">
        <f t="shared" si="19"/>
        <v/>
      </c>
      <c r="O72" s="1504" t="str">
        <f t="shared" si="20"/>
        <v/>
      </c>
      <c r="P72" s="1504" t="str">
        <f t="shared" si="21"/>
        <v/>
      </c>
      <c r="Q72" s="1504" t="str">
        <f t="shared" si="22"/>
        <v/>
      </c>
      <c r="R72" s="1504" t="str">
        <f t="shared" si="23"/>
        <v/>
      </c>
      <c r="S72" s="1504" t="str">
        <f t="shared" si="24"/>
        <v/>
      </c>
      <c r="T72" s="1504" t="str">
        <f t="shared" si="25"/>
        <v/>
      </c>
      <c r="U72" s="1504" t="str">
        <f t="shared" si="26"/>
        <v/>
      </c>
      <c r="V72" s="1503" t="str">
        <f>IF(AND(C72&lt;&gt;"",C72&lt;&gt;"Vacant",C72&lt;&gt;"Manager"),'F-TIV'!O69,"")</f>
        <v/>
      </c>
      <c r="W72" s="1502" t="str">
        <f>IF(AND(C72&lt;&gt;"",C72&lt;&gt;"Vacant",C72&lt;&gt;"Manager"),'F-TIV'!P69,"")</f>
        <v/>
      </c>
      <c r="X72" s="1498" t="str">
        <f t="shared" si="27"/>
        <v/>
      </c>
      <c r="Y72" s="1501" t="str">
        <f>IF('F-TIV'!G69&lt;&gt;"",'F-TIV'!G69,"")</f>
        <v/>
      </c>
      <c r="Z72" s="1500" t="str">
        <f>IF(AND(C72&lt;&gt;"",C72&lt;&gt;"Vacant",C72&lt;&gt;"Manager"),'F-TIV'!L69,"")</f>
        <v/>
      </c>
      <c r="AA72" s="1499" t="str">
        <f t="shared" si="28"/>
        <v/>
      </c>
      <c r="AB72" s="1498" t="str">
        <f t="shared" si="29"/>
        <v/>
      </c>
      <c r="AC72" s="1426"/>
      <c r="AD72" s="1426"/>
      <c r="AE72" s="1426"/>
      <c r="AG72" s="1497"/>
      <c r="AL72" s="1496"/>
      <c r="AN72" s="1496"/>
      <c r="AO72" s="1496"/>
      <c r="AP72" s="1496"/>
      <c r="AQ72" s="1496"/>
      <c r="AR72" s="1496"/>
    </row>
    <row r="73" spans="2:44" s="1442" customFormat="1" ht="11.25" customHeight="1">
      <c r="B73" s="1501" t="str">
        <f t="shared" si="15"/>
        <v>0</v>
      </c>
      <c r="C73" s="1506" t="str">
        <f>IF('F-TIV'!D70&lt;&gt;"",'F-TIV'!D70,"")</f>
        <v/>
      </c>
      <c r="D73" s="1501" t="str">
        <f>IF('F-TIV'!C70&lt;&gt;"",'F-TIV'!C70,"")</f>
        <v/>
      </c>
      <c r="E73" s="1502" t="str">
        <f>IF('F-TIV'!Q70&lt;&gt;"",'F-TIV'!Q70,"")</f>
        <v/>
      </c>
      <c r="F73" s="1502" t="str">
        <f>IF('F-TIV'!R70&lt;&gt;"",'F-TIV'!R70,"")</f>
        <v/>
      </c>
      <c r="G73" s="1505" t="str">
        <f>IF('F-TIV'!S70&lt;&gt;"",'F-TIV'!S70,"")</f>
        <v/>
      </c>
      <c r="H73" s="1501" t="str">
        <f>IF('F-TIV'!F70&lt;&gt;"",'F-TIV'!F70,"")</f>
        <v/>
      </c>
      <c r="I73" s="1500" t="str">
        <f>IF(AND(C73&lt;&gt;"",C73&lt;&gt;"Vacant",C73&lt;&gt;"Manager"),IF('F-TIV'!H70&lt;&gt;"",'F-TIV'!H70,""),"")</f>
        <v/>
      </c>
      <c r="J73" s="1500" t="str">
        <f>IF(AND(C73&lt;&gt;"",C73&lt;&gt;"Vacant",C73&lt;&gt;"Manager"),IF('F-TIV'!J70&lt;&gt;0,'F-TIV'!J70,"$0"),"")</f>
        <v/>
      </c>
      <c r="K73" s="1500" t="str">
        <f t="shared" si="16"/>
        <v/>
      </c>
      <c r="L73" s="1504" t="str">
        <f t="shared" si="17"/>
        <v/>
      </c>
      <c r="M73" s="1504" t="str">
        <f t="shared" si="18"/>
        <v/>
      </c>
      <c r="N73" s="1504" t="str">
        <f t="shared" si="19"/>
        <v/>
      </c>
      <c r="O73" s="1504" t="str">
        <f t="shared" si="20"/>
        <v/>
      </c>
      <c r="P73" s="1504" t="str">
        <f t="shared" si="21"/>
        <v/>
      </c>
      <c r="Q73" s="1504" t="str">
        <f t="shared" si="22"/>
        <v/>
      </c>
      <c r="R73" s="1504" t="str">
        <f t="shared" si="23"/>
        <v/>
      </c>
      <c r="S73" s="1504" t="str">
        <f t="shared" si="24"/>
        <v/>
      </c>
      <c r="T73" s="1504" t="str">
        <f t="shared" si="25"/>
        <v/>
      </c>
      <c r="U73" s="1504" t="str">
        <f t="shared" si="26"/>
        <v/>
      </c>
      <c r="V73" s="1503" t="str">
        <f>IF(AND(C73&lt;&gt;"",C73&lt;&gt;"Vacant",C73&lt;&gt;"Manager"),'F-TIV'!O70,"")</f>
        <v/>
      </c>
      <c r="W73" s="1502" t="str">
        <f>IF(AND(C73&lt;&gt;"",C73&lt;&gt;"Vacant",C73&lt;&gt;"Manager"),'F-TIV'!P70,"")</f>
        <v/>
      </c>
      <c r="X73" s="1498" t="str">
        <f t="shared" si="27"/>
        <v/>
      </c>
      <c r="Y73" s="1501" t="str">
        <f>IF('F-TIV'!G70&lt;&gt;"",'F-TIV'!G70,"")</f>
        <v/>
      </c>
      <c r="Z73" s="1500" t="str">
        <f>IF(AND(C73&lt;&gt;"",C73&lt;&gt;"Vacant",C73&lt;&gt;"Manager"),'F-TIV'!L70,"")</f>
        <v/>
      </c>
      <c r="AA73" s="1499" t="str">
        <f t="shared" si="28"/>
        <v/>
      </c>
      <c r="AB73" s="1498" t="str">
        <f t="shared" si="29"/>
        <v/>
      </c>
      <c r="AC73" s="1426"/>
      <c r="AD73" s="1426"/>
      <c r="AE73" s="1426"/>
      <c r="AG73" s="1497"/>
      <c r="AL73" s="1496"/>
      <c r="AN73" s="1496"/>
      <c r="AO73" s="1496"/>
      <c r="AP73" s="1496"/>
      <c r="AQ73" s="1496"/>
      <c r="AR73" s="1496"/>
    </row>
    <row r="74" spans="2:44" s="1442" customFormat="1" ht="11.25" customHeight="1">
      <c r="B74" s="1501" t="str">
        <f t="shared" si="15"/>
        <v>0</v>
      </c>
      <c r="C74" s="1506" t="str">
        <f>IF('F-TIV'!D71&lt;&gt;"",'F-TIV'!D71,"")</f>
        <v/>
      </c>
      <c r="D74" s="1501" t="str">
        <f>IF('F-TIV'!C71&lt;&gt;"",'F-TIV'!C71,"")</f>
        <v/>
      </c>
      <c r="E74" s="1502" t="str">
        <f>IF('F-TIV'!Q71&lt;&gt;"",'F-TIV'!Q71,"")</f>
        <v/>
      </c>
      <c r="F74" s="1502" t="str">
        <f>IF('F-TIV'!R71&lt;&gt;"",'F-TIV'!R71,"")</f>
        <v/>
      </c>
      <c r="G74" s="1505" t="str">
        <f>IF('F-TIV'!S71&lt;&gt;"",'F-TIV'!S71,"")</f>
        <v/>
      </c>
      <c r="H74" s="1501" t="str">
        <f>IF('F-TIV'!F71&lt;&gt;"",'F-TIV'!F71,"")</f>
        <v/>
      </c>
      <c r="I74" s="1500" t="str">
        <f>IF(AND(C74&lt;&gt;"",C74&lt;&gt;"Vacant",C74&lt;&gt;"Manager"),IF('F-TIV'!H71&lt;&gt;"",'F-TIV'!H71,""),"")</f>
        <v/>
      </c>
      <c r="J74" s="1500" t="str">
        <f>IF(AND(C74&lt;&gt;"",C74&lt;&gt;"Vacant",C74&lt;&gt;"Manager"),IF('F-TIV'!J71&lt;&gt;0,'F-TIV'!J71,"$0"),"")</f>
        <v/>
      </c>
      <c r="K74" s="1500" t="str">
        <f t="shared" si="16"/>
        <v/>
      </c>
      <c r="L74" s="1504" t="str">
        <f t="shared" si="17"/>
        <v/>
      </c>
      <c r="M74" s="1504" t="str">
        <f t="shared" si="18"/>
        <v/>
      </c>
      <c r="N74" s="1504" t="str">
        <f t="shared" si="19"/>
        <v/>
      </c>
      <c r="O74" s="1504" t="str">
        <f t="shared" si="20"/>
        <v/>
      </c>
      <c r="P74" s="1504" t="str">
        <f t="shared" si="21"/>
        <v/>
      </c>
      <c r="Q74" s="1504" t="str">
        <f t="shared" si="22"/>
        <v/>
      </c>
      <c r="R74" s="1504" t="str">
        <f t="shared" si="23"/>
        <v/>
      </c>
      <c r="S74" s="1504" t="str">
        <f t="shared" si="24"/>
        <v/>
      </c>
      <c r="T74" s="1504" t="str">
        <f t="shared" si="25"/>
        <v/>
      </c>
      <c r="U74" s="1504" t="str">
        <f t="shared" si="26"/>
        <v/>
      </c>
      <c r="V74" s="1503" t="str">
        <f>IF(AND(C74&lt;&gt;"",C74&lt;&gt;"Vacant",C74&lt;&gt;"Manager"),'F-TIV'!O71,"")</f>
        <v/>
      </c>
      <c r="W74" s="1502" t="str">
        <f>IF(AND(C74&lt;&gt;"",C74&lt;&gt;"Vacant",C74&lt;&gt;"Manager"),'F-TIV'!P71,"")</f>
        <v/>
      </c>
      <c r="X74" s="1498" t="str">
        <f t="shared" si="27"/>
        <v/>
      </c>
      <c r="Y74" s="1501" t="str">
        <f>IF('F-TIV'!G71&lt;&gt;"",'F-TIV'!G71,"")</f>
        <v/>
      </c>
      <c r="Z74" s="1500" t="str">
        <f>IF(AND(C74&lt;&gt;"",C74&lt;&gt;"Vacant",C74&lt;&gt;"Manager"),'F-TIV'!L71,"")</f>
        <v/>
      </c>
      <c r="AA74" s="1499" t="str">
        <f t="shared" si="28"/>
        <v/>
      </c>
      <c r="AB74" s="1498" t="str">
        <f t="shared" si="29"/>
        <v/>
      </c>
      <c r="AC74" s="1426"/>
      <c r="AD74" s="1426"/>
      <c r="AE74" s="1426"/>
      <c r="AG74" s="1497"/>
      <c r="AL74" s="1496"/>
      <c r="AN74" s="1496"/>
      <c r="AO74" s="1496"/>
      <c r="AP74" s="1496"/>
      <c r="AQ74" s="1496"/>
      <c r="AR74" s="1496"/>
    </row>
    <row r="75" spans="2:44" s="1442" customFormat="1" ht="11.25" customHeight="1">
      <c r="B75" s="1501" t="str">
        <f t="shared" si="15"/>
        <v>0</v>
      </c>
      <c r="C75" s="1506" t="str">
        <f>IF('F-TIV'!D72&lt;&gt;"",'F-TIV'!D72,"")</f>
        <v/>
      </c>
      <c r="D75" s="1501" t="str">
        <f>IF('F-TIV'!C72&lt;&gt;"",'F-TIV'!C72,"")</f>
        <v/>
      </c>
      <c r="E75" s="1502" t="str">
        <f>IF('F-TIV'!Q72&lt;&gt;"",'F-TIV'!Q72,"")</f>
        <v/>
      </c>
      <c r="F75" s="1502" t="str">
        <f>IF('F-TIV'!R72&lt;&gt;"",'F-TIV'!R72,"")</f>
        <v/>
      </c>
      <c r="G75" s="1505" t="str">
        <f>IF('F-TIV'!S72&lt;&gt;"",'F-TIV'!S72,"")</f>
        <v/>
      </c>
      <c r="H75" s="1501" t="str">
        <f>IF('F-TIV'!F72&lt;&gt;"",'F-TIV'!F72,"")</f>
        <v/>
      </c>
      <c r="I75" s="1500" t="str">
        <f>IF(AND(C75&lt;&gt;"",C75&lt;&gt;"Vacant",C75&lt;&gt;"Manager"),IF('F-TIV'!H72&lt;&gt;"",'F-TIV'!H72,""),"")</f>
        <v/>
      </c>
      <c r="J75" s="1500" t="str">
        <f>IF(AND(C75&lt;&gt;"",C75&lt;&gt;"Vacant",C75&lt;&gt;"Manager"),IF('F-TIV'!J72&lt;&gt;0,'F-TIV'!J72,"$0"),"")</f>
        <v/>
      </c>
      <c r="K75" s="1500" t="str">
        <f t="shared" si="16"/>
        <v/>
      </c>
      <c r="L75" s="1504" t="str">
        <f t="shared" si="17"/>
        <v/>
      </c>
      <c r="M75" s="1504" t="str">
        <f t="shared" si="18"/>
        <v/>
      </c>
      <c r="N75" s="1504" t="str">
        <f t="shared" si="19"/>
        <v/>
      </c>
      <c r="O75" s="1504" t="str">
        <f t="shared" si="20"/>
        <v/>
      </c>
      <c r="P75" s="1504" t="str">
        <f t="shared" si="21"/>
        <v/>
      </c>
      <c r="Q75" s="1504" t="str">
        <f t="shared" si="22"/>
        <v/>
      </c>
      <c r="R75" s="1504" t="str">
        <f t="shared" si="23"/>
        <v/>
      </c>
      <c r="S75" s="1504" t="str">
        <f t="shared" si="24"/>
        <v/>
      </c>
      <c r="T75" s="1504" t="str">
        <f t="shared" si="25"/>
        <v/>
      </c>
      <c r="U75" s="1504" t="str">
        <f t="shared" si="26"/>
        <v/>
      </c>
      <c r="V75" s="1503" t="str">
        <f>IF(AND(C75&lt;&gt;"",C75&lt;&gt;"Vacant",C75&lt;&gt;"Manager"),'F-TIV'!O72,"")</f>
        <v/>
      </c>
      <c r="W75" s="1502" t="str">
        <f>IF(AND(C75&lt;&gt;"",C75&lt;&gt;"Vacant",C75&lt;&gt;"Manager"),'F-TIV'!P72,"")</f>
        <v/>
      </c>
      <c r="X75" s="1498" t="str">
        <f t="shared" si="27"/>
        <v/>
      </c>
      <c r="Y75" s="1501" t="str">
        <f>IF('F-TIV'!G72&lt;&gt;"",'F-TIV'!G72,"")</f>
        <v/>
      </c>
      <c r="Z75" s="1500" t="str">
        <f>IF(AND(C75&lt;&gt;"",C75&lt;&gt;"Vacant",C75&lt;&gt;"Manager"),'F-TIV'!L72,"")</f>
        <v/>
      </c>
      <c r="AA75" s="1499" t="str">
        <f t="shared" si="28"/>
        <v/>
      </c>
      <c r="AB75" s="1498" t="str">
        <f t="shared" si="29"/>
        <v/>
      </c>
      <c r="AC75" s="1426"/>
      <c r="AD75" s="1426"/>
      <c r="AE75" s="1426"/>
      <c r="AG75" s="1497"/>
      <c r="AL75" s="1496"/>
      <c r="AN75" s="1496"/>
      <c r="AO75" s="1496"/>
      <c r="AP75" s="1496"/>
      <c r="AQ75" s="1496"/>
      <c r="AR75" s="1496"/>
    </row>
    <row r="76" spans="2:44" s="1442" customFormat="1" ht="11.25" customHeight="1">
      <c r="B76" s="1501" t="str">
        <f t="shared" si="15"/>
        <v>0</v>
      </c>
      <c r="C76" s="1506" t="str">
        <f>IF('F-TIV'!D73&lt;&gt;"",'F-TIV'!D73,"")</f>
        <v/>
      </c>
      <c r="D76" s="1501" t="str">
        <f>IF('F-TIV'!C73&lt;&gt;"",'F-TIV'!C73,"")</f>
        <v/>
      </c>
      <c r="E76" s="1502" t="str">
        <f>IF('F-TIV'!Q73&lt;&gt;"",'F-TIV'!Q73,"")</f>
        <v/>
      </c>
      <c r="F76" s="1502" t="str">
        <f>IF('F-TIV'!R73&lt;&gt;"",'F-TIV'!R73,"")</f>
        <v/>
      </c>
      <c r="G76" s="1505" t="str">
        <f>IF('F-TIV'!S73&lt;&gt;"",'F-TIV'!S73,"")</f>
        <v/>
      </c>
      <c r="H76" s="1501" t="str">
        <f>IF('F-TIV'!F73&lt;&gt;"",'F-TIV'!F73,"")</f>
        <v/>
      </c>
      <c r="I76" s="1500" t="str">
        <f>IF(AND(C76&lt;&gt;"",C76&lt;&gt;"Vacant",C76&lt;&gt;"Manager"),IF('F-TIV'!H73&lt;&gt;"",'F-TIV'!H73,""),"")</f>
        <v/>
      </c>
      <c r="J76" s="1500" t="str">
        <f>IF(AND(C76&lt;&gt;"",C76&lt;&gt;"Vacant",C76&lt;&gt;"Manager"),IF('F-TIV'!J73&lt;&gt;0,'F-TIV'!J73,"$0"),"")</f>
        <v/>
      </c>
      <c r="K76" s="1500" t="str">
        <f t="shared" si="16"/>
        <v/>
      </c>
      <c r="L76" s="1504" t="str">
        <f t="shared" si="17"/>
        <v/>
      </c>
      <c r="M76" s="1504" t="str">
        <f t="shared" si="18"/>
        <v/>
      </c>
      <c r="N76" s="1504" t="str">
        <f t="shared" si="19"/>
        <v/>
      </c>
      <c r="O76" s="1504" t="str">
        <f t="shared" si="20"/>
        <v/>
      </c>
      <c r="P76" s="1504" t="str">
        <f t="shared" si="21"/>
        <v/>
      </c>
      <c r="Q76" s="1504" t="str">
        <f t="shared" si="22"/>
        <v/>
      </c>
      <c r="R76" s="1504" t="str">
        <f t="shared" si="23"/>
        <v/>
      </c>
      <c r="S76" s="1504" t="str">
        <f t="shared" si="24"/>
        <v/>
      </c>
      <c r="T76" s="1504" t="str">
        <f t="shared" si="25"/>
        <v/>
      </c>
      <c r="U76" s="1504" t="str">
        <f t="shared" si="26"/>
        <v/>
      </c>
      <c r="V76" s="1503" t="str">
        <f>IF(AND(C76&lt;&gt;"",C76&lt;&gt;"Vacant",C76&lt;&gt;"Manager"),'F-TIV'!O73,"")</f>
        <v/>
      </c>
      <c r="W76" s="1502" t="str">
        <f>IF(AND(C76&lt;&gt;"",C76&lt;&gt;"Vacant",C76&lt;&gt;"Manager"),'F-TIV'!P73,"")</f>
        <v/>
      </c>
      <c r="X76" s="1498" t="str">
        <f t="shared" si="27"/>
        <v/>
      </c>
      <c r="Y76" s="1501" t="str">
        <f>IF('F-TIV'!G73&lt;&gt;"",'F-TIV'!G73,"")</f>
        <v/>
      </c>
      <c r="Z76" s="1500" t="str">
        <f>IF(AND(C76&lt;&gt;"",C76&lt;&gt;"Vacant",C76&lt;&gt;"Manager"),'F-TIV'!L73,"")</f>
        <v/>
      </c>
      <c r="AA76" s="1499" t="str">
        <f t="shared" si="28"/>
        <v/>
      </c>
      <c r="AB76" s="1498" t="str">
        <f t="shared" si="29"/>
        <v/>
      </c>
      <c r="AC76" s="1426"/>
      <c r="AD76" s="1426"/>
      <c r="AE76" s="1426"/>
      <c r="AG76" s="1497"/>
      <c r="AL76" s="1496"/>
      <c r="AN76" s="1496"/>
      <c r="AO76" s="1496"/>
      <c r="AP76" s="1496"/>
      <c r="AQ76" s="1496"/>
      <c r="AR76" s="1496"/>
    </row>
    <row r="77" spans="2:44" s="1442" customFormat="1" ht="11.25" customHeight="1">
      <c r="B77" s="1501" t="str">
        <f t="shared" si="15"/>
        <v>0</v>
      </c>
      <c r="C77" s="1506" t="str">
        <f>IF('F-TIV'!D74&lt;&gt;"",'F-TIV'!D74,"")</f>
        <v/>
      </c>
      <c r="D77" s="1501" t="str">
        <f>IF('F-TIV'!C74&lt;&gt;"",'F-TIV'!C74,"")</f>
        <v/>
      </c>
      <c r="E77" s="1502" t="str">
        <f>IF('F-TIV'!Q74&lt;&gt;"",'F-TIV'!Q74,"")</f>
        <v/>
      </c>
      <c r="F77" s="1502" t="str">
        <f>IF('F-TIV'!R74&lt;&gt;"",'F-TIV'!R74,"")</f>
        <v/>
      </c>
      <c r="G77" s="1505" t="str">
        <f>IF('F-TIV'!S74&lt;&gt;"",'F-TIV'!S74,"")</f>
        <v/>
      </c>
      <c r="H77" s="1501" t="str">
        <f>IF('F-TIV'!F74&lt;&gt;"",'F-TIV'!F74,"")</f>
        <v/>
      </c>
      <c r="I77" s="1500" t="str">
        <f>IF(AND(C77&lt;&gt;"",C77&lt;&gt;"Vacant",C77&lt;&gt;"Manager"),IF('F-TIV'!H74&lt;&gt;"",'F-TIV'!H74,""),"")</f>
        <v/>
      </c>
      <c r="J77" s="1500" t="str">
        <f>IF(AND(C77&lt;&gt;"",C77&lt;&gt;"Vacant",C77&lt;&gt;"Manager"),IF('F-TIV'!J74&lt;&gt;0,'F-TIV'!J74,"$0"),"")</f>
        <v/>
      </c>
      <c r="K77" s="1500" t="str">
        <f t="shared" si="16"/>
        <v/>
      </c>
      <c r="L77" s="1504" t="str">
        <f t="shared" si="17"/>
        <v/>
      </c>
      <c r="M77" s="1504" t="str">
        <f t="shared" si="18"/>
        <v/>
      </c>
      <c r="N77" s="1504" t="str">
        <f t="shared" si="19"/>
        <v/>
      </c>
      <c r="O77" s="1504" t="str">
        <f t="shared" si="20"/>
        <v/>
      </c>
      <c r="P77" s="1504" t="str">
        <f t="shared" si="21"/>
        <v/>
      </c>
      <c r="Q77" s="1504" t="str">
        <f t="shared" si="22"/>
        <v/>
      </c>
      <c r="R77" s="1504" t="str">
        <f t="shared" si="23"/>
        <v/>
      </c>
      <c r="S77" s="1504" t="str">
        <f t="shared" si="24"/>
        <v/>
      </c>
      <c r="T77" s="1504" t="str">
        <f t="shared" si="25"/>
        <v/>
      </c>
      <c r="U77" s="1504" t="str">
        <f t="shared" si="26"/>
        <v/>
      </c>
      <c r="V77" s="1503" t="str">
        <f>IF(AND(C77&lt;&gt;"",C77&lt;&gt;"Vacant",C77&lt;&gt;"Manager"),'F-TIV'!O74,"")</f>
        <v/>
      </c>
      <c r="W77" s="1502" t="str">
        <f>IF(AND(C77&lt;&gt;"",C77&lt;&gt;"Vacant",C77&lt;&gt;"Manager"),'F-TIV'!P74,"")</f>
        <v/>
      </c>
      <c r="X77" s="1498" t="str">
        <f t="shared" si="27"/>
        <v/>
      </c>
      <c r="Y77" s="1501" t="str">
        <f>IF('F-TIV'!G74&lt;&gt;"",'F-TIV'!G74,"")</f>
        <v/>
      </c>
      <c r="Z77" s="1500" t="str">
        <f>IF(AND(C77&lt;&gt;"",C77&lt;&gt;"Vacant",C77&lt;&gt;"Manager"),'F-TIV'!L74,"")</f>
        <v/>
      </c>
      <c r="AA77" s="1499" t="str">
        <f t="shared" si="28"/>
        <v/>
      </c>
      <c r="AB77" s="1498" t="str">
        <f t="shared" si="29"/>
        <v/>
      </c>
      <c r="AC77" s="1426"/>
      <c r="AD77" s="1426"/>
      <c r="AE77" s="1426"/>
      <c r="AG77" s="1497"/>
      <c r="AL77" s="1496"/>
      <c r="AN77" s="1496"/>
      <c r="AO77" s="1496"/>
      <c r="AP77" s="1496"/>
      <c r="AQ77" s="1496"/>
      <c r="AR77" s="1496"/>
    </row>
    <row r="78" spans="2:44" s="1442" customFormat="1" ht="11.25" customHeight="1">
      <c r="B78" s="1501" t="str">
        <f t="shared" si="15"/>
        <v>0</v>
      </c>
      <c r="C78" s="1506" t="str">
        <f>IF('F-TIV'!D75&lt;&gt;"",'F-TIV'!D75,"")</f>
        <v/>
      </c>
      <c r="D78" s="1501" t="str">
        <f>IF('F-TIV'!C75&lt;&gt;"",'F-TIV'!C75,"")</f>
        <v/>
      </c>
      <c r="E78" s="1502" t="str">
        <f>IF('F-TIV'!Q75&lt;&gt;"",'F-TIV'!Q75,"")</f>
        <v/>
      </c>
      <c r="F78" s="1502" t="str">
        <f>IF('F-TIV'!R75&lt;&gt;"",'F-TIV'!R75,"")</f>
        <v/>
      </c>
      <c r="G78" s="1505" t="str">
        <f>IF('F-TIV'!S75&lt;&gt;"",'F-TIV'!S75,"")</f>
        <v/>
      </c>
      <c r="H78" s="1501" t="str">
        <f>IF('F-TIV'!F75&lt;&gt;"",'F-TIV'!F75,"")</f>
        <v/>
      </c>
      <c r="I78" s="1500" t="str">
        <f>IF(AND(C78&lt;&gt;"",C78&lt;&gt;"Vacant",C78&lt;&gt;"Manager"),IF('F-TIV'!H75&lt;&gt;"",'F-TIV'!H75,""),"")</f>
        <v/>
      </c>
      <c r="J78" s="1500" t="str">
        <f>IF(AND(C78&lt;&gt;"",C78&lt;&gt;"Vacant",C78&lt;&gt;"Manager"),IF('F-TIV'!J75&lt;&gt;0,'F-TIV'!J75,"$0"),"")</f>
        <v/>
      </c>
      <c r="K78" s="1500" t="str">
        <f t="shared" si="16"/>
        <v/>
      </c>
      <c r="L78" s="1504" t="str">
        <f t="shared" si="17"/>
        <v/>
      </c>
      <c r="M78" s="1504" t="str">
        <f t="shared" si="18"/>
        <v/>
      </c>
      <c r="N78" s="1504" t="str">
        <f t="shared" si="19"/>
        <v/>
      </c>
      <c r="O78" s="1504" t="str">
        <f t="shared" si="20"/>
        <v/>
      </c>
      <c r="P78" s="1504" t="str">
        <f t="shared" si="21"/>
        <v/>
      </c>
      <c r="Q78" s="1504" t="str">
        <f t="shared" si="22"/>
        <v/>
      </c>
      <c r="R78" s="1504" t="str">
        <f t="shared" si="23"/>
        <v/>
      </c>
      <c r="S78" s="1504" t="str">
        <f t="shared" si="24"/>
        <v/>
      </c>
      <c r="T78" s="1504" t="str">
        <f t="shared" si="25"/>
        <v/>
      </c>
      <c r="U78" s="1504" t="str">
        <f t="shared" si="26"/>
        <v/>
      </c>
      <c r="V78" s="1503" t="str">
        <f>IF(AND(C78&lt;&gt;"",C78&lt;&gt;"Vacant",C78&lt;&gt;"Manager"),'F-TIV'!O75,"")</f>
        <v/>
      </c>
      <c r="W78" s="1502" t="str">
        <f>IF(AND(C78&lt;&gt;"",C78&lt;&gt;"Vacant",C78&lt;&gt;"Manager"),'F-TIV'!P75,"")</f>
        <v/>
      </c>
      <c r="X78" s="1498" t="str">
        <f t="shared" si="27"/>
        <v/>
      </c>
      <c r="Y78" s="1501" t="str">
        <f>IF('F-TIV'!G75&lt;&gt;"",'F-TIV'!G75,"")</f>
        <v/>
      </c>
      <c r="Z78" s="1500" t="str">
        <f>IF(AND(C78&lt;&gt;"",C78&lt;&gt;"Vacant",C78&lt;&gt;"Manager"),'F-TIV'!L75,"")</f>
        <v/>
      </c>
      <c r="AA78" s="1499" t="str">
        <f t="shared" si="28"/>
        <v/>
      </c>
      <c r="AB78" s="1498" t="str">
        <f t="shared" si="29"/>
        <v/>
      </c>
      <c r="AC78" s="1426"/>
      <c r="AD78" s="1426"/>
      <c r="AE78" s="1426"/>
      <c r="AG78" s="1497"/>
      <c r="AL78" s="1496"/>
      <c r="AN78" s="1496"/>
      <c r="AO78" s="1496"/>
      <c r="AP78" s="1496"/>
      <c r="AQ78" s="1496"/>
      <c r="AR78" s="1496"/>
    </row>
    <row r="79" spans="2:44" s="1442" customFormat="1" ht="11.25" customHeight="1">
      <c r="B79" s="1501" t="str">
        <f t="shared" si="15"/>
        <v>0</v>
      </c>
      <c r="C79" s="1506" t="str">
        <f>IF('F-TIV'!D76&lt;&gt;"",'F-TIV'!D76,"")</f>
        <v/>
      </c>
      <c r="D79" s="1501" t="str">
        <f>IF('F-TIV'!C76&lt;&gt;"",'F-TIV'!C76,"")</f>
        <v/>
      </c>
      <c r="E79" s="1502" t="str">
        <f>IF('F-TIV'!Q76&lt;&gt;"",'F-TIV'!Q76,"")</f>
        <v/>
      </c>
      <c r="F79" s="1502" t="str">
        <f>IF('F-TIV'!R76&lt;&gt;"",'F-TIV'!R76,"")</f>
        <v/>
      </c>
      <c r="G79" s="1505" t="str">
        <f>IF('F-TIV'!S76&lt;&gt;"",'F-TIV'!S76,"")</f>
        <v/>
      </c>
      <c r="H79" s="1501" t="str">
        <f>IF('F-TIV'!F76&lt;&gt;"",'F-TIV'!F76,"")</f>
        <v/>
      </c>
      <c r="I79" s="1500" t="str">
        <f>IF(AND(C79&lt;&gt;"",C79&lt;&gt;"Vacant",C79&lt;&gt;"Manager"),IF('F-TIV'!H76&lt;&gt;"",'F-TIV'!H76,""),"")</f>
        <v/>
      </c>
      <c r="J79" s="1500" t="str">
        <f>IF(AND(C79&lt;&gt;"",C79&lt;&gt;"Vacant",C79&lt;&gt;"Manager"),IF('F-TIV'!J76&lt;&gt;0,'F-TIV'!J76,"$0"),"")</f>
        <v/>
      </c>
      <c r="K79" s="1500" t="str">
        <f t="shared" si="16"/>
        <v/>
      </c>
      <c r="L79" s="1504" t="str">
        <f t="shared" si="17"/>
        <v/>
      </c>
      <c r="M79" s="1504" t="str">
        <f t="shared" si="18"/>
        <v/>
      </c>
      <c r="N79" s="1504" t="str">
        <f t="shared" si="19"/>
        <v/>
      </c>
      <c r="O79" s="1504" t="str">
        <f t="shared" si="20"/>
        <v/>
      </c>
      <c r="P79" s="1504" t="str">
        <f t="shared" si="21"/>
        <v/>
      </c>
      <c r="Q79" s="1504" t="str">
        <f t="shared" si="22"/>
        <v/>
      </c>
      <c r="R79" s="1504" t="str">
        <f t="shared" si="23"/>
        <v/>
      </c>
      <c r="S79" s="1504" t="str">
        <f t="shared" si="24"/>
        <v/>
      </c>
      <c r="T79" s="1504" t="str">
        <f t="shared" si="25"/>
        <v/>
      </c>
      <c r="U79" s="1504" t="str">
        <f t="shared" si="26"/>
        <v/>
      </c>
      <c r="V79" s="1503" t="str">
        <f>IF(AND(C79&lt;&gt;"",C79&lt;&gt;"Vacant",C79&lt;&gt;"Manager"),'F-TIV'!O76,"")</f>
        <v/>
      </c>
      <c r="W79" s="1502" t="str">
        <f>IF(AND(C79&lt;&gt;"",C79&lt;&gt;"Vacant",C79&lt;&gt;"Manager"),'F-TIV'!P76,"")</f>
        <v/>
      </c>
      <c r="X79" s="1498" t="str">
        <f t="shared" si="27"/>
        <v/>
      </c>
      <c r="Y79" s="1501" t="str">
        <f>IF('F-TIV'!G76&lt;&gt;"",'F-TIV'!G76,"")</f>
        <v/>
      </c>
      <c r="Z79" s="1500" t="str">
        <f>IF(AND(C79&lt;&gt;"",C79&lt;&gt;"Vacant",C79&lt;&gt;"Manager"),'F-TIV'!L76,"")</f>
        <v/>
      </c>
      <c r="AA79" s="1499" t="str">
        <f t="shared" si="28"/>
        <v/>
      </c>
      <c r="AB79" s="1498" t="str">
        <f t="shared" si="29"/>
        <v/>
      </c>
      <c r="AC79" s="1426"/>
      <c r="AD79" s="1426"/>
      <c r="AE79" s="1426"/>
      <c r="AG79" s="1497"/>
      <c r="AL79" s="1496"/>
      <c r="AN79" s="1496"/>
      <c r="AO79" s="1496"/>
      <c r="AP79" s="1496"/>
      <c r="AQ79" s="1496"/>
      <c r="AR79" s="1496"/>
    </row>
    <row r="80" spans="2:44" s="1442" customFormat="1" ht="11.25" customHeight="1">
      <c r="B80" s="1501" t="str">
        <f t="shared" si="15"/>
        <v>0</v>
      </c>
      <c r="C80" s="1506" t="str">
        <f>IF('F-TIV'!D77&lt;&gt;"",'F-TIV'!D77,"")</f>
        <v/>
      </c>
      <c r="D80" s="1501" t="str">
        <f>IF('F-TIV'!C77&lt;&gt;"",'F-TIV'!C77,"")</f>
        <v/>
      </c>
      <c r="E80" s="1502" t="str">
        <f>IF('F-TIV'!Q77&lt;&gt;"",'F-TIV'!Q77,"")</f>
        <v/>
      </c>
      <c r="F80" s="1502" t="str">
        <f>IF('F-TIV'!R77&lt;&gt;"",'F-TIV'!R77,"")</f>
        <v/>
      </c>
      <c r="G80" s="1505" t="str">
        <f>IF('F-TIV'!S77&lt;&gt;"",'F-TIV'!S77,"")</f>
        <v/>
      </c>
      <c r="H80" s="1501" t="str">
        <f>IF('F-TIV'!F77&lt;&gt;"",'F-TIV'!F77,"")</f>
        <v/>
      </c>
      <c r="I80" s="1500" t="str">
        <f>IF(AND(C80&lt;&gt;"",C80&lt;&gt;"Vacant",C80&lt;&gt;"Manager"),IF('F-TIV'!H77&lt;&gt;"",'F-TIV'!H77,""),"")</f>
        <v/>
      </c>
      <c r="J80" s="1500" t="str">
        <f>IF(AND(C80&lt;&gt;"",C80&lt;&gt;"Vacant",C80&lt;&gt;"Manager"),IF('F-TIV'!J77&lt;&gt;0,'F-TIV'!J77,"$0"),"")</f>
        <v/>
      </c>
      <c r="K80" s="1500" t="str">
        <f t="shared" si="16"/>
        <v/>
      </c>
      <c r="L80" s="1504" t="str">
        <f t="shared" si="17"/>
        <v/>
      </c>
      <c r="M80" s="1504" t="str">
        <f t="shared" si="18"/>
        <v/>
      </c>
      <c r="N80" s="1504" t="str">
        <f t="shared" si="19"/>
        <v/>
      </c>
      <c r="O80" s="1504" t="str">
        <f t="shared" si="20"/>
        <v/>
      </c>
      <c r="P80" s="1504" t="str">
        <f t="shared" si="21"/>
        <v/>
      </c>
      <c r="Q80" s="1504" t="str">
        <f t="shared" si="22"/>
        <v/>
      </c>
      <c r="R80" s="1504" t="str">
        <f t="shared" si="23"/>
        <v/>
      </c>
      <c r="S80" s="1504" t="str">
        <f t="shared" si="24"/>
        <v/>
      </c>
      <c r="T80" s="1504" t="str">
        <f t="shared" si="25"/>
        <v/>
      </c>
      <c r="U80" s="1504" t="str">
        <f t="shared" si="26"/>
        <v/>
      </c>
      <c r="V80" s="1503" t="str">
        <f>IF(AND(C80&lt;&gt;"",C80&lt;&gt;"Vacant",C80&lt;&gt;"Manager"),'F-TIV'!O77,"")</f>
        <v/>
      </c>
      <c r="W80" s="1502" t="str">
        <f>IF(AND(C80&lt;&gt;"",C80&lt;&gt;"Vacant",C80&lt;&gt;"Manager"),'F-TIV'!P77,"")</f>
        <v/>
      </c>
      <c r="X80" s="1498" t="str">
        <f t="shared" si="27"/>
        <v/>
      </c>
      <c r="Y80" s="1501" t="str">
        <f>IF('F-TIV'!G77&lt;&gt;"",'F-TIV'!G77,"")</f>
        <v/>
      </c>
      <c r="Z80" s="1500" t="str">
        <f>IF(AND(C80&lt;&gt;"",C80&lt;&gt;"Vacant",C80&lt;&gt;"Manager"),'F-TIV'!L77,"")</f>
        <v/>
      </c>
      <c r="AA80" s="1499" t="str">
        <f t="shared" si="28"/>
        <v/>
      </c>
      <c r="AB80" s="1498" t="str">
        <f t="shared" si="29"/>
        <v/>
      </c>
      <c r="AC80" s="1426"/>
      <c r="AD80" s="1426"/>
      <c r="AE80" s="1426"/>
      <c r="AG80" s="1497"/>
      <c r="AL80" s="1496"/>
      <c r="AN80" s="1496"/>
      <c r="AO80" s="1496"/>
      <c r="AP80" s="1496"/>
      <c r="AQ80" s="1496"/>
      <c r="AR80" s="1496"/>
    </row>
    <row r="81" spans="2:44" s="1442" customFormat="1" ht="11.25" customHeight="1">
      <c r="B81" s="1501" t="str">
        <f t="shared" si="15"/>
        <v>0</v>
      </c>
      <c r="C81" s="1506" t="str">
        <f>IF('F-TIV'!D78&lt;&gt;"",'F-TIV'!D78,"")</f>
        <v/>
      </c>
      <c r="D81" s="1501" t="str">
        <f>IF('F-TIV'!C78&lt;&gt;"",'F-TIV'!C78,"")</f>
        <v/>
      </c>
      <c r="E81" s="1502" t="str">
        <f>IF('F-TIV'!Q78&lt;&gt;"",'F-TIV'!Q78,"")</f>
        <v/>
      </c>
      <c r="F81" s="1502" t="str">
        <f>IF('F-TIV'!R78&lt;&gt;"",'F-TIV'!R78,"")</f>
        <v/>
      </c>
      <c r="G81" s="1505" t="str">
        <f>IF('F-TIV'!S78&lt;&gt;"",'F-TIV'!S78,"")</f>
        <v/>
      </c>
      <c r="H81" s="1501" t="str">
        <f>IF('F-TIV'!F78&lt;&gt;"",'F-TIV'!F78,"")</f>
        <v/>
      </c>
      <c r="I81" s="1500" t="str">
        <f>IF(AND(C81&lt;&gt;"",C81&lt;&gt;"Vacant",C81&lt;&gt;"Manager"),IF('F-TIV'!H78&lt;&gt;"",'F-TIV'!H78,""),"")</f>
        <v/>
      </c>
      <c r="J81" s="1500" t="str">
        <f>IF(AND(C81&lt;&gt;"",C81&lt;&gt;"Vacant",C81&lt;&gt;"Manager"),IF('F-TIV'!J78&lt;&gt;0,'F-TIV'!J78,"$0"),"")</f>
        <v/>
      </c>
      <c r="K81" s="1500" t="str">
        <f t="shared" si="16"/>
        <v/>
      </c>
      <c r="L81" s="1504" t="str">
        <f t="shared" si="17"/>
        <v/>
      </c>
      <c r="M81" s="1504" t="str">
        <f t="shared" si="18"/>
        <v/>
      </c>
      <c r="N81" s="1504" t="str">
        <f t="shared" si="19"/>
        <v/>
      </c>
      <c r="O81" s="1504" t="str">
        <f t="shared" si="20"/>
        <v/>
      </c>
      <c r="P81" s="1504" t="str">
        <f t="shared" si="21"/>
        <v/>
      </c>
      <c r="Q81" s="1504" t="str">
        <f t="shared" si="22"/>
        <v/>
      </c>
      <c r="R81" s="1504" t="str">
        <f t="shared" si="23"/>
        <v/>
      </c>
      <c r="S81" s="1504" t="str">
        <f t="shared" si="24"/>
        <v/>
      </c>
      <c r="T81" s="1504" t="str">
        <f t="shared" si="25"/>
        <v/>
      </c>
      <c r="U81" s="1504" t="str">
        <f t="shared" si="26"/>
        <v/>
      </c>
      <c r="V81" s="1503" t="str">
        <f>IF(AND(C81&lt;&gt;"",C81&lt;&gt;"Vacant",C81&lt;&gt;"Manager"),'F-TIV'!O78,"")</f>
        <v/>
      </c>
      <c r="W81" s="1502" t="str">
        <f>IF(AND(C81&lt;&gt;"",C81&lt;&gt;"Vacant",C81&lt;&gt;"Manager"),'F-TIV'!P78,"")</f>
        <v/>
      </c>
      <c r="X81" s="1498" t="str">
        <f t="shared" si="27"/>
        <v/>
      </c>
      <c r="Y81" s="1501" t="str">
        <f>IF('F-TIV'!G78&lt;&gt;"",'F-TIV'!G78,"")</f>
        <v/>
      </c>
      <c r="Z81" s="1500" t="str">
        <f>IF(AND(C81&lt;&gt;"",C81&lt;&gt;"Vacant",C81&lt;&gt;"Manager"),'F-TIV'!L78,"")</f>
        <v/>
      </c>
      <c r="AA81" s="1499" t="str">
        <f t="shared" si="28"/>
        <v/>
      </c>
      <c r="AB81" s="1498" t="str">
        <f t="shared" si="29"/>
        <v/>
      </c>
      <c r="AC81" s="1426"/>
      <c r="AD81" s="1426"/>
      <c r="AE81" s="1426"/>
      <c r="AG81" s="1497"/>
      <c r="AL81" s="1496"/>
      <c r="AN81" s="1496"/>
      <c r="AO81" s="1496"/>
      <c r="AP81" s="1496"/>
      <c r="AQ81" s="1496"/>
      <c r="AR81" s="1496"/>
    </row>
    <row r="82" spans="2:44" s="1442" customFormat="1" ht="11.25" customHeight="1">
      <c r="B82" s="1501" t="str">
        <f t="shared" si="15"/>
        <v>0</v>
      </c>
      <c r="C82" s="1506" t="str">
        <f>IF('F-TIV'!D79&lt;&gt;"",'F-TIV'!D79,"")</f>
        <v/>
      </c>
      <c r="D82" s="1501" t="str">
        <f>IF('F-TIV'!C79&lt;&gt;"",'F-TIV'!C79,"")</f>
        <v/>
      </c>
      <c r="E82" s="1502" t="str">
        <f>IF('F-TIV'!Q79&lt;&gt;"",'F-TIV'!Q79,"")</f>
        <v/>
      </c>
      <c r="F82" s="1502" t="str">
        <f>IF('F-TIV'!R79&lt;&gt;"",'F-TIV'!R79,"")</f>
        <v/>
      </c>
      <c r="G82" s="1505" t="str">
        <f>IF('F-TIV'!S79&lt;&gt;"",'F-TIV'!S79,"")</f>
        <v/>
      </c>
      <c r="H82" s="1501" t="str">
        <f>IF('F-TIV'!F79&lt;&gt;"",'F-TIV'!F79,"")</f>
        <v/>
      </c>
      <c r="I82" s="1500" t="str">
        <f>IF(AND(C82&lt;&gt;"",C82&lt;&gt;"Vacant",C82&lt;&gt;"Manager"),IF('F-TIV'!H79&lt;&gt;"",'F-TIV'!H79,""),"")</f>
        <v/>
      </c>
      <c r="J82" s="1500" t="str">
        <f>IF(AND(C82&lt;&gt;"",C82&lt;&gt;"Vacant",C82&lt;&gt;"Manager"),IF('F-TIV'!J79&lt;&gt;0,'F-TIV'!J79,"$0"),"")</f>
        <v/>
      </c>
      <c r="K82" s="1500" t="str">
        <f t="shared" si="16"/>
        <v/>
      </c>
      <c r="L82" s="1504" t="str">
        <f t="shared" si="17"/>
        <v/>
      </c>
      <c r="M82" s="1504" t="str">
        <f t="shared" si="18"/>
        <v/>
      </c>
      <c r="N82" s="1504" t="str">
        <f t="shared" si="19"/>
        <v/>
      </c>
      <c r="O82" s="1504" t="str">
        <f t="shared" si="20"/>
        <v/>
      </c>
      <c r="P82" s="1504" t="str">
        <f t="shared" si="21"/>
        <v/>
      </c>
      <c r="Q82" s="1504" t="str">
        <f t="shared" si="22"/>
        <v/>
      </c>
      <c r="R82" s="1504" t="str">
        <f t="shared" si="23"/>
        <v/>
      </c>
      <c r="S82" s="1504" t="str">
        <f t="shared" si="24"/>
        <v/>
      </c>
      <c r="T82" s="1504" t="str">
        <f t="shared" si="25"/>
        <v/>
      </c>
      <c r="U82" s="1504" t="str">
        <f t="shared" si="26"/>
        <v/>
      </c>
      <c r="V82" s="1503" t="str">
        <f>IF(AND(C82&lt;&gt;"",C82&lt;&gt;"Vacant",C82&lt;&gt;"Manager"),'F-TIV'!O79,"")</f>
        <v/>
      </c>
      <c r="W82" s="1502" t="str">
        <f>IF(AND(C82&lt;&gt;"",C82&lt;&gt;"Vacant",C82&lt;&gt;"Manager"),'F-TIV'!P79,"")</f>
        <v/>
      </c>
      <c r="X82" s="1498" t="str">
        <f t="shared" si="27"/>
        <v/>
      </c>
      <c r="Y82" s="1501" t="str">
        <f>IF('F-TIV'!G79&lt;&gt;"",'F-TIV'!G79,"")</f>
        <v/>
      </c>
      <c r="Z82" s="1500" t="str">
        <f>IF(AND(C82&lt;&gt;"",C82&lt;&gt;"Vacant",C82&lt;&gt;"Manager"),'F-TIV'!L79,"")</f>
        <v/>
      </c>
      <c r="AA82" s="1499" t="str">
        <f t="shared" si="28"/>
        <v/>
      </c>
      <c r="AB82" s="1498" t="str">
        <f t="shared" si="29"/>
        <v/>
      </c>
      <c r="AC82" s="1426"/>
      <c r="AD82" s="1426"/>
      <c r="AE82" s="1426"/>
      <c r="AG82" s="1497"/>
      <c r="AL82" s="1496"/>
      <c r="AN82" s="1496"/>
      <c r="AO82" s="1496"/>
      <c r="AP82" s="1496"/>
      <c r="AQ82" s="1496"/>
      <c r="AR82" s="1496"/>
    </row>
    <row r="83" spans="2:44" s="1442" customFormat="1" ht="11.25" customHeight="1">
      <c r="B83" s="1501" t="str">
        <f t="shared" si="15"/>
        <v>0</v>
      </c>
      <c r="C83" s="1506" t="str">
        <f>IF('F-TIV'!D80&lt;&gt;"",'F-TIV'!D80,"")</f>
        <v/>
      </c>
      <c r="D83" s="1501" t="str">
        <f>IF('F-TIV'!C80&lt;&gt;"",'F-TIV'!C80,"")</f>
        <v/>
      </c>
      <c r="E83" s="1502" t="str">
        <f>IF('F-TIV'!Q80&lt;&gt;"",'F-TIV'!Q80,"")</f>
        <v/>
      </c>
      <c r="F83" s="1502" t="str">
        <f>IF('F-TIV'!R80&lt;&gt;"",'F-TIV'!R80,"")</f>
        <v/>
      </c>
      <c r="G83" s="1505" t="str">
        <f>IF('F-TIV'!S80&lt;&gt;"",'F-TIV'!S80,"")</f>
        <v/>
      </c>
      <c r="H83" s="1501" t="str">
        <f>IF('F-TIV'!F80&lt;&gt;"",'F-TIV'!F80,"")</f>
        <v/>
      </c>
      <c r="I83" s="1500" t="str">
        <f>IF(AND(C83&lt;&gt;"",C83&lt;&gt;"Vacant",C83&lt;&gt;"Manager"),IF('F-TIV'!H80&lt;&gt;"",'F-TIV'!H80,""),"")</f>
        <v/>
      </c>
      <c r="J83" s="1500" t="str">
        <f>IF(AND(C83&lt;&gt;"",C83&lt;&gt;"Vacant",C83&lt;&gt;"Manager"),IF('F-TIV'!J80&lt;&gt;0,'F-TIV'!J80,"$0"),"")</f>
        <v/>
      </c>
      <c r="K83" s="1500" t="str">
        <f t="shared" si="16"/>
        <v/>
      </c>
      <c r="L83" s="1504" t="str">
        <f t="shared" si="17"/>
        <v/>
      </c>
      <c r="M83" s="1504" t="str">
        <f t="shared" si="18"/>
        <v/>
      </c>
      <c r="N83" s="1504" t="str">
        <f t="shared" si="19"/>
        <v/>
      </c>
      <c r="O83" s="1504" t="str">
        <f t="shared" si="20"/>
        <v/>
      </c>
      <c r="P83" s="1504" t="str">
        <f t="shared" si="21"/>
        <v/>
      </c>
      <c r="Q83" s="1504" t="str">
        <f t="shared" si="22"/>
        <v/>
      </c>
      <c r="R83" s="1504" t="str">
        <f t="shared" si="23"/>
        <v/>
      </c>
      <c r="S83" s="1504" t="str">
        <f t="shared" si="24"/>
        <v/>
      </c>
      <c r="T83" s="1504" t="str">
        <f t="shared" si="25"/>
        <v/>
      </c>
      <c r="U83" s="1504" t="str">
        <f t="shared" si="26"/>
        <v/>
      </c>
      <c r="V83" s="1503" t="str">
        <f>IF(AND(C83&lt;&gt;"",C83&lt;&gt;"Vacant",C83&lt;&gt;"Manager"),'F-TIV'!O80,"")</f>
        <v/>
      </c>
      <c r="W83" s="1502" t="str">
        <f>IF(AND(C83&lt;&gt;"",C83&lt;&gt;"Vacant",C83&lt;&gt;"Manager"),'F-TIV'!P80,"")</f>
        <v/>
      </c>
      <c r="X83" s="1498" t="str">
        <f t="shared" si="27"/>
        <v/>
      </c>
      <c r="Y83" s="1501" t="str">
        <f>IF('F-TIV'!G80&lt;&gt;"",'F-TIV'!G80,"")</f>
        <v/>
      </c>
      <c r="Z83" s="1500" t="str">
        <f>IF(AND(C83&lt;&gt;"",C83&lt;&gt;"Vacant",C83&lt;&gt;"Manager"),'F-TIV'!L80,"")</f>
        <v/>
      </c>
      <c r="AA83" s="1499" t="str">
        <f t="shared" si="28"/>
        <v/>
      </c>
      <c r="AB83" s="1498" t="str">
        <f t="shared" si="29"/>
        <v/>
      </c>
      <c r="AC83" s="1426"/>
      <c r="AD83" s="1426"/>
      <c r="AE83" s="1426"/>
      <c r="AG83" s="1497"/>
      <c r="AL83" s="1496"/>
      <c r="AN83" s="1496"/>
      <c r="AO83" s="1496"/>
      <c r="AP83" s="1496"/>
      <c r="AQ83" s="1496"/>
      <c r="AR83" s="1496"/>
    </row>
    <row r="84" spans="2:44" s="1442" customFormat="1" ht="11.25" customHeight="1">
      <c r="B84" s="1501" t="str">
        <f t="shared" si="15"/>
        <v>0</v>
      </c>
      <c r="C84" s="1506" t="str">
        <f>IF('F-TIV'!D81&lt;&gt;"",'F-TIV'!D81,"")</f>
        <v/>
      </c>
      <c r="D84" s="1501" t="str">
        <f>IF('F-TIV'!C81&lt;&gt;"",'F-TIV'!C81,"")</f>
        <v/>
      </c>
      <c r="E84" s="1502" t="str">
        <f>IF('F-TIV'!Q81&lt;&gt;"",'F-TIV'!Q81,"")</f>
        <v/>
      </c>
      <c r="F84" s="1502" t="str">
        <f>IF('F-TIV'!R81&lt;&gt;"",'F-TIV'!R81,"")</f>
        <v/>
      </c>
      <c r="G84" s="1505" t="str">
        <f>IF('F-TIV'!S81&lt;&gt;"",'F-TIV'!S81,"")</f>
        <v/>
      </c>
      <c r="H84" s="1501" t="str">
        <f>IF('F-TIV'!F81&lt;&gt;"",'F-TIV'!F81,"")</f>
        <v/>
      </c>
      <c r="I84" s="1500" t="str">
        <f>IF(AND(C84&lt;&gt;"",C84&lt;&gt;"Vacant",C84&lt;&gt;"Manager"),IF('F-TIV'!H81&lt;&gt;"",'F-TIV'!H81,""),"")</f>
        <v/>
      </c>
      <c r="J84" s="1500" t="str">
        <f>IF(AND(C84&lt;&gt;"",C84&lt;&gt;"Vacant",C84&lt;&gt;"Manager"),IF('F-TIV'!J81&lt;&gt;0,'F-TIV'!J81,"$0"),"")</f>
        <v/>
      </c>
      <c r="K84" s="1500" t="str">
        <f t="shared" si="16"/>
        <v/>
      </c>
      <c r="L84" s="1504" t="str">
        <f t="shared" si="17"/>
        <v/>
      </c>
      <c r="M84" s="1504" t="str">
        <f t="shared" si="18"/>
        <v/>
      </c>
      <c r="N84" s="1504" t="str">
        <f t="shared" si="19"/>
        <v/>
      </c>
      <c r="O84" s="1504" t="str">
        <f t="shared" si="20"/>
        <v/>
      </c>
      <c r="P84" s="1504" t="str">
        <f t="shared" si="21"/>
        <v/>
      </c>
      <c r="Q84" s="1504" t="str">
        <f t="shared" si="22"/>
        <v/>
      </c>
      <c r="R84" s="1504" t="str">
        <f t="shared" si="23"/>
        <v/>
      </c>
      <c r="S84" s="1504" t="str">
        <f t="shared" si="24"/>
        <v/>
      </c>
      <c r="T84" s="1504" t="str">
        <f t="shared" si="25"/>
        <v/>
      </c>
      <c r="U84" s="1504" t="str">
        <f t="shared" si="26"/>
        <v/>
      </c>
      <c r="V84" s="1503" t="str">
        <f>IF(AND(C84&lt;&gt;"",C84&lt;&gt;"Vacant",C84&lt;&gt;"Manager"),'F-TIV'!O81,"")</f>
        <v/>
      </c>
      <c r="W84" s="1502" t="str">
        <f>IF(AND(C84&lt;&gt;"",C84&lt;&gt;"Vacant",C84&lt;&gt;"Manager"),'F-TIV'!P81,"")</f>
        <v/>
      </c>
      <c r="X84" s="1498" t="str">
        <f t="shared" si="27"/>
        <v/>
      </c>
      <c r="Y84" s="1501" t="str">
        <f>IF('F-TIV'!G81&lt;&gt;"",'F-TIV'!G81,"")</f>
        <v/>
      </c>
      <c r="Z84" s="1500" t="str">
        <f>IF(AND(C84&lt;&gt;"",C84&lt;&gt;"Vacant",C84&lt;&gt;"Manager"),'F-TIV'!L81,"")</f>
        <v/>
      </c>
      <c r="AA84" s="1499" t="str">
        <f t="shared" si="28"/>
        <v/>
      </c>
      <c r="AB84" s="1498" t="str">
        <f t="shared" si="29"/>
        <v/>
      </c>
      <c r="AC84" s="1426"/>
      <c r="AD84" s="1426"/>
      <c r="AE84" s="1426"/>
      <c r="AG84" s="1497"/>
      <c r="AL84" s="1496"/>
      <c r="AN84" s="1496"/>
      <c r="AO84" s="1496"/>
      <c r="AP84" s="1496"/>
      <c r="AQ84" s="1496"/>
      <c r="AR84" s="1496"/>
    </row>
    <row r="85" spans="2:44" s="1442" customFormat="1" ht="11.25" customHeight="1">
      <c r="B85" s="1501" t="str">
        <f t="shared" si="15"/>
        <v>0</v>
      </c>
      <c r="C85" s="1506" t="str">
        <f>IF('F-TIV'!D82&lt;&gt;"",'F-TIV'!D82,"")</f>
        <v/>
      </c>
      <c r="D85" s="1501" t="str">
        <f>IF('F-TIV'!C82&lt;&gt;"",'F-TIV'!C82,"")</f>
        <v/>
      </c>
      <c r="E85" s="1502" t="str">
        <f>IF('F-TIV'!Q82&lt;&gt;"",'F-TIV'!Q82,"")</f>
        <v/>
      </c>
      <c r="F85" s="1502" t="str">
        <f>IF('F-TIV'!R82&lt;&gt;"",'F-TIV'!R82,"")</f>
        <v/>
      </c>
      <c r="G85" s="1505" t="str">
        <f>IF('F-TIV'!S82&lt;&gt;"",'F-TIV'!S82,"")</f>
        <v/>
      </c>
      <c r="H85" s="1501" t="str">
        <f>IF('F-TIV'!F82&lt;&gt;"",'F-TIV'!F82,"")</f>
        <v/>
      </c>
      <c r="I85" s="1500" t="str">
        <f>IF(AND(C85&lt;&gt;"",C85&lt;&gt;"Vacant",C85&lt;&gt;"Manager"),IF('F-TIV'!H82&lt;&gt;"",'F-TIV'!H82,""),"")</f>
        <v/>
      </c>
      <c r="J85" s="1500" t="str">
        <f>IF(AND(C85&lt;&gt;"",C85&lt;&gt;"Vacant",C85&lt;&gt;"Manager"),IF('F-TIV'!J82&lt;&gt;0,'F-TIV'!J82,"$0"),"")</f>
        <v/>
      </c>
      <c r="K85" s="1500" t="str">
        <f t="shared" si="16"/>
        <v/>
      </c>
      <c r="L85" s="1504" t="str">
        <f t="shared" si="17"/>
        <v/>
      </c>
      <c r="M85" s="1504" t="str">
        <f t="shared" si="18"/>
        <v/>
      </c>
      <c r="N85" s="1504" t="str">
        <f t="shared" si="19"/>
        <v/>
      </c>
      <c r="O85" s="1504" t="str">
        <f t="shared" si="20"/>
        <v/>
      </c>
      <c r="P85" s="1504" t="str">
        <f t="shared" si="21"/>
        <v/>
      </c>
      <c r="Q85" s="1504" t="str">
        <f t="shared" si="22"/>
        <v/>
      </c>
      <c r="R85" s="1504" t="str">
        <f t="shared" si="23"/>
        <v/>
      </c>
      <c r="S85" s="1504" t="str">
        <f t="shared" si="24"/>
        <v/>
      </c>
      <c r="T85" s="1504" t="str">
        <f t="shared" si="25"/>
        <v/>
      </c>
      <c r="U85" s="1504" t="str">
        <f t="shared" si="26"/>
        <v/>
      </c>
      <c r="V85" s="1503" t="str">
        <f>IF(AND(C85&lt;&gt;"",C85&lt;&gt;"Vacant",C85&lt;&gt;"Manager"),'F-TIV'!O82,"")</f>
        <v/>
      </c>
      <c r="W85" s="1502" t="str">
        <f>IF(AND(C85&lt;&gt;"",C85&lt;&gt;"Vacant",C85&lt;&gt;"Manager"),'F-TIV'!P82,"")</f>
        <v/>
      </c>
      <c r="X85" s="1498" t="str">
        <f t="shared" si="27"/>
        <v/>
      </c>
      <c r="Y85" s="1501" t="str">
        <f>IF('F-TIV'!G82&lt;&gt;"",'F-TIV'!G82,"")</f>
        <v/>
      </c>
      <c r="Z85" s="1500" t="str">
        <f>IF(AND(C85&lt;&gt;"",C85&lt;&gt;"Vacant",C85&lt;&gt;"Manager"),'F-TIV'!L82,"")</f>
        <v/>
      </c>
      <c r="AA85" s="1499" t="str">
        <f t="shared" si="28"/>
        <v/>
      </c>
      <c r="AB85" s="1498" t="str">
        <f t="shared" si="29"/>
        <v/>
      </c>
      <c r="AC85" s="1426"/>
      <c r="AD85" s="1426"/>
      <c r="AE85" s="1426"/>
      <c r="AG85" s="1497"/>
      <c r="AL85" s="1496"/>
      <c r="AN85" s="1496"/>
      <c r="AO85" s="1496"/>
      <c r="AP85" s="1496"/>
      <c r="AQ85" s="1496"/>
      <c r="AR85" s="1496"/>
    </row>
    <row r="86" spans="2:44" s="1442" customFormat="1" ht="11.25" customHeight="1">
      <c r="B86" s="1501" t="str">
        <f t="shared" si="15"/>
        <v>0</v>
      </c>
      <c r="C86" s="1506" t="str">
        <f>IF('F-TIV'!D83&lt;&gt;"",'F-TIV'!D83,"")</f>
        <v/>
      </c>
      <c r="D86" s="1501" t="str">
        <f>IF('F-TIV'!C83&lt;&gt;"",'F-TIV'!C83,"")</f>
        <v/>
      </c>
      <c r="E86" s="1502" t="str">
        <f>IF('F-TIV'!Q83&lt;&gt;"",'F-TIV'!Q83,"")</f>
        <v/>
      </c>
      <c r="F86" s="1502" t="str">
        <f>IF('F-TIV'!R83&lt;&gt;"",'F-TIV'!R83,"")</f>
        <v/>
      </c>
      <c r="G86" s="1505" t="str">
        <f>IF('F-TIV'!S83&lt;&gt;"",'F-TIV'!S83,"")</f>
        <v/>
      </c>
      <c r="H86" s="1501" t="str">
        <f>IF('F-TIV'!F83&lt;&gt;"",'F-TIV'!F83,"")</f>
        <v/>
      </c>
      <c r="I86" s="1500" t="str">
        <f>IF(AND(C86&lt;&gt;"",C86&lt;&gt;"Vacant",C86&lt;&gt;"Manager"),IF('F-TIV'!H83&lt;&gt;"",'F-TIV'!H83,""),"")</f>
        <v/>
      </c>
      <c r="J86" s="1500" t="str">
        <f>IF(AND(C86&lt;&gt;"",C86&lt;&gt;"Vacant",C86&lt;&gt;"Manager"),IF('F-TIV'!J83&lt;&gt;0,'F-TIV'!J83,"$0"),"")</f>
        <v/>
      </c>
      <c r="K86" s="1500" t="str">
        <f t="shared" si="16"/>
        <v/>
      </c>
      <c r="L86" s="1504" t="str">
        <f t="shared" si="17"/>
        <v/>
      </c>
      <c r="M86" s="1504" t="str">
        <f t="shared" si="18"/>
        <v/>
      </c>
      <c r="N86" s="1504" t="str">
        <f t="shared" si="19"/>
        <v/>
      </c>
      <c r="O86" s="1504" t="str">
        <f t="shared" si="20"/>
        <v/>
      </c>
      <c r="P86" s="1504" t="str">
        <f t="shared" si="21"/>
        <v/>
      </c>
      <c r="Q86" s="1504" t="str">
        <f t="shared" si="22"/>
        <v/>
      </c>
      <c r="R86" s="1504" t="str">
        <f t="shared" si="23"/>
        <v/>
      </c>
      <c r="S86" s="1504" t="str">
        <f t="shared" si="24"/>
        <v/>
      </c>
      <c r="T86" s="1504" t="str">
        <f t="shared" si="25"/>
        <v/>
      </c>
      <c r="U86" s="1504" t="str">
        <f t="shared" si="26"/>
        <v/>
      </c>
      <c r="V86" s="1503" t="str">
        <f>IF(AND(C86&lt;&gt;"",C86&lt;&gt;"Vacant",C86&lt;&gt;"Manager"),'F-TIV'!O83,"")</f>
        <v/>
      </c>
      <c r="W86" s="1502" t="str">
        <f>IF(AND(C86&lt;&gt;"",C86&lt;&gt;"Vacant",C86&lt;&gt;"Manager"),'F-TIV'!P83,"")</f>
        <v/>
      </c>
      <c r="X86" s="1498" t="str">
        <f t="shared" si="27"/>
        <v/>
      </c>
      <c r="Y86" s="1501" t="str">
        <f>IF('F-TIV'!G83&lt;&gt;"",'F-TIV'!G83,"")</f>
        <v/>
      </c>
      <c r="Z86" s="1500" t="str">
        <f>IF(AND(C86&lt;&gt;"",C86&lt;&gt;"Vacant",C86&lt;&gt;"Manager"),'F-TIV'!L83,"")</f>
        <v/>
      </c>
      <c r="AA86" s="1499" t="str">
        <f t="shared" si="28"/>
        <v/>
      </c>
      <c r="AB86" s="1498" t="str">
        <f t="shared" si="29"/>
        <v/>
      </c>
      <c r="AC86" s="1426"/>
      <c r="AD86" s="1426"/>
      <c r="AE86" s="1426"/>
      <c r="AG86" s="1497"/>
      <c r="AL86" s="1496"/>
      <c r="AN86" s="1496"/>
      <c r="AO86" s="1496"/>
      <c r="AP86" s="1496"/>
      <c r="AQ86" s="1496"/>
      <c r="AR86" s="1496"/>
    </row>
    <row r="87" spans="2:44" s="1442" customFormat="1" ht="11.25" customHeight="1">
      <c r="B87" s="1501" t="str">
        <f t="shared" si="15"/>
        <v>0</v>
      </c>
      <c r="C87" s="1506" t="str">
        <f>IF('F-TIV'!D84&lt;&gt;"",'F-TIV'!D84,"")</f>
        <v/>
      </c>
      <c r="D87" s="1501" t="str">
        <f>IF('F-TIV'!C84&lt;&gt;"",'F-TIV'!C84,"")</f>
        <v/>
      </c>
      <c r="E87" s="1502" t="str">
        <f>IF('F-TIV'!Q84&lt;&gt;"",'F-TIV'!Q84,"")</f>
        <v/>
      </c>
      <c r="F87" s="1502" t="str">
        <f>IF('F-TIV'!R84&lt;&gt;"",'F-TIV'!R84,"")</f>
        <v/>
      </c>
      <c r="G87" s="1505" t="str">
        <f>IF('F-TIV'!S84&lt;&gt;"",'F-TIV'!S84,"")</f>
        <v/>
      </c>
      <c r="H87" s="1501" t="str">
        <f>IF('F-TIV'!F84&lt;&gt;"",'F-TIV'!F84,"")</f>
        <v/>
      </c>
      <c r="I87" s="1500" t="str">
        <f>IF(AND(C87&lt;&gt;"",C87&lt;&gt;"Vacant",C87&lt;&gt;"Manager"),IF('F-TIV'!H84&lt;&gt;"",'F-TIV'!H84,""),"")</f>
        <v/>
      </c>
      <c r="J87" s="1500" t="str">
        <f>IF(AND(C87&lt;&gt;"",C87&lt;&gt;"Vacant",C87&lt;&gt;"Manager"),IF('F-TIV'!J84&lt;&gt;0,'F-TIV'!J84,"$0"),"")</f>
        <v/>
      </c>
      <c r="K87" s="1500" t="str">
        <f t="shared" si="16"/>
        <v/>
      </c>
      <c r="L87" s="1504" t="str">
        <f t="shared" si="17"/>
        <v/>
      </c>
      <c r="M87" s="1504" t="str">
        <f t="shared" si="18"/>
        <v/>
      </c>
      <c r="N87" s="1504" t="str">
        <f t="shared" si="19"/>
        <v/>
      </c>
      <c r="O87" s="1504" t="str">
        <f t="shared" si="20"/>
        <v/>
      </c>
      <c r="P87" s="1504" t="str">
        <f t="shared" si="21"/>
        <v/>
      </c>
      <c r="Q87" s="1504" t="str">
        <f t="shared" si="22"/>
        <v/>
      </c>
      <c r="R87" s="1504" t="str">
        <f t="shared" si="23"/>
        <v/>
      </c>
      <c r="S87" s="1504" t="str">
        <f t="shared" si="24"/>
        <v/>
      </c>
      <c r="T87" s="1504" t="str">
        <f t="shared" si="25"/>
        <v/>
      </c>
      <c r="U87" s="1504" t="str">
        <f t="shared" si="26"/>
        <v/>
      </c>
      <c r="V87" s="1503" t="str">
        <f>IF(AND(C87&lt;&gt;"",C87&lt;&gt;"Vacant",C87&lt;&gt;"Manager"),'F-TIV'!O84,"")</f>
        <v/>
      </c>
      <c r="W87" s="1502" t="str">
        <f>IF(AND(C87&lt;&gt;"",C87&lt;&gt;"Vacant",C87&lt;&gt;"Manager"),'F-TIV'!P84,"")</f>
        <v/>
      </c>
      <c r="X87" s="1498" t="str">
        <f t="shared" si="27"/>
        <v/>
      </c>
      <c r="Y87" s="1501" t="str">
        <f>IF('F-TIV'!G84&lt;&gt;"",'F-TIV'!G84,"")</f>
        <v/>
      </c>
      <c r="Z87" s="1500" t="str">
        <f>IF(AND(C87&lt;&gt;"",C87&lt;&gt;"Vacant",C87&lt;&gt;"Manager"),'F-TIV'!L84,"")</f>
        <v/>
      </c>
      <c r="AA87" s="1499" t="str">
        <f t="shared" si="28"/>
        <v/>
      </c>
      <c r="AB87" s="1498" t="str">
        <f t="shared" si="29"/>
        <v/>
      </c>
      <c r="AC87" s="1426"/>
      <c r="AD87" s="1426"/>
      <c r="AE87" s="1426"/>
      <c r="AG87" s="1497"/>
      <c r="AL87" s="1496"/>
      <c r="AN87" s="1496"/>
      <c r="AO87" s="1496"/>
      <c r="AP87" s="1496"/>
      <c r="AQ87" s="1496"/>
      <c r="AR87" s="1496"/>
    </row>
    <row r="88" spans="2:44" s="1442" customFormat="1" ht="11.25" customHeight="1">
      <c r="B88" s="1501" t="str">
        <f t="shared" si="15"/>
        <v>0</v>
      </c>
      <c r="C88" s="1506" t="str">
        <f>IF('F-TIV'!D85&lt;&gt;"",'F-TIV'!D85,"")</f>
        <v/>
      </c>
      <c r="D88" s="1501" t="str">
        <f>IF('F-TIV'!C85&lt;&gt;"",'F-TIV'!C85,"")</f>
        <v/>
      </c>
      <c r="E88" s="1502" t="str">
        <f>IF('F-TIV'!Q85&lt;&gt;"",'F-TIV'!Q85,"")</f>
        <v/>
      </c>
      <c r="F88" s="1502" t="str">
        <f>IF('F-TIV'!R85&lt;&gt;"",'F-TIV'!R85,"")</f>
        <v/>
      </c>
      <c r="G88" s="1505" t="str">
        <f>IF('F-TIV'!S85&lt;&gt;"",'F-TIV'!S85,"")</f>
        <v/>
      </c>
      <c r="H88" s="1501" t="str">
        <f>IF('F-TIV'!F85&lt;&gt;"",'F-TIV'!F85,"")</f>
        <v/>
      </c>
      <c r="I88" s="1500" t="str">
        <f>IF(AND(C88&lt;&gt;"",C88&lt;&gt;"Vacant",C88&lt;&gt;"Manager"),IF('F-TIV'!H85&lt;&gt;"",'F-TIV'!H85,""),"")</f>
        <v/>
      </c>
      <c r="J88" s="1500" t="str">
        <f>IF(AND(C88&lt;&gt;"",C88&lt;&gt;"Vacant",C88&lt;&gt;"Manager"),IF('F-TIV'!J85&lt;&gt;0,'F-TIV'!J85,"$0"),"")</f>
        <v/>
      </c>
      <c r="K88" s="1500" t="str">
        <f t="shared" si="16"/>
        <v/>
      </c>
      <c r="L88" s="1504" t="str">
        <f t="shared" si="17"/>
        <v/>
      </c>
      <c r="M88" s="1504" t="str">
        <f t="shared" si="18"/>
        <v/>
      </c>
      <c r="N88" s="1504" t="str">
        <f t="shared" si="19"/>
        <v/>
      </c>
      <c r="O88" s="1504" t="str">
        <f t="shared" si="20"/>
        <v/>
      </c>
      <c r="P88" s="1504" t="str">
        <f t="shared" si="21"/>
        <v/>
      </c>
      <c r="Q88" s="1504" t="str">
        <f t="shared" si="22"/>
        <v/>
      </c>
      <c r="R88" s="1504" t="str">
        <f t="shared" si="23"/>
        <v/>
      </c>
      <c r="S88" s="1504" t="str">
        <f t="shared" si="24"/>
        <v/>
      </c>
      <c r="T88" s="1504" t="str">
        <f t="shared" si="25"/>
        <v/>
      </c>
      <c r="U88" s="1504" t="str">
        <f t="shared" si="26"/>
        <v/>
      </c>
      <c r="V88" s="1503" t="str">
        <f>IF(AND(C88&lt;&gt;"",C88&lt;&gt;"Vacant",C88&lt;&gt;"Manager"),'F-TIV'!O85,"")</f>
        <v/>
      </c>
      <c r="W88" s="1502" t="str">
        <f>IF(AND(C88&lt;&gt;"",C88&lt;&gt;"Vacant",C88&lt;&gt;"Manager"),'F-TIV'!P85,"")</f>
        <v/>
      </c>
      <c r="X88" s="1498" t="str">
        <f t="shared" si="27"/>
        <v/>
      </c>
      <c r="Y88" s="1501" t="str">
        <f>IF('F-TIV'!G85&lt;&gt;"",'F-TIV'!G85,"")</f>
        <v/>
      </c>
      <c r="Z88" s="1500" t="str">
        <f>IF(AND(C88&lt;&gt;"",C88&lt;&gt;"Vacant",C88&lt;&gt;"Manager"),'F-TIV'!L85,"")</f>
        <v/>
      </c>
      <c r="AA88" s="1499" t="str">
        <f t="shared" si="28"/>
        <v/>
      </c>
      <c r="AB88" s="1498" t="str">
        <f t="shared" si="29"/>
        <v/>
      </c>
      <c r="AC88" s="1426"/>
      <c r="AD88" s="1426"/>
      <c r="AE88" s="1426"/>
      <c r="AG88" s="1497"/>
      <c r="AL88" s="1496"/>
      <c r="AN88" s="1496"/>
      <c r="AO88" s="1496"/>
      <c r="AP88" s="1496"/>
      <c r="AQ88" s="1496"/>
      <c r="AR88" s="1496"/>
    </row>
    <row r="89" spans="2:44" s="1442" customFormat="1" ht="11.25" customHeight="1">
      <c r="B89" s="1501" t="str">
        <f t="shared" si="15"/>
        <v>0</v>
      </c>
      <c r="C89" s="1506" t="str">
        <f>IF('F-TIV'!D86&lt;&gt;"",'F-TIV'!D86,"")</f>
        <v/>
      </c>
      <c r="D89" s="1501" t="str">
        <f>IF('F-TIV'!C86&lt;&gt;"",'F-TIV'!C86,"")</f>
        <v/>
      </c>
      <c r="E89" s="1502" t="str">
        <f>IF('F-TIV'!Q86&lt;&gt;"",'F-TIV'!Q86,"")</f>
        <v/>
      </c>
      <c r="F89" s="1502" t="str">
        <f>IF('F-TIV'!R86&lt;&gt;"",'F-TIV'!R86,"")</f>
        <v/>
      </c>
      <c r="G89" s="1505" t="str">
        <f>IF('F-TIV'!S86&lt;&gt;"",'F-TIV'!S86,"")</f>
        <v/>
      </c>
      <c r="H89" s="1501" t="str">
        <f>IF('F-TIV'!F86&lt;&gt;"",'F-TIV'!F86,"")</f>
        <v/>
      </c>
      <c r="I89" s="1500" t="str">
        <f>IF(AND(C89&lt;&gt;"",C89&lt;&gt;"Vacant",C89&lt;&gt;"Manager"),IF('F-TIV'!H86&lt;&gt;"",'F-TIV'!H86,""),"")</f>
        <v/>
      </c>
      <c r="J89" s="1500" t="str">
        <f>IF(AND(C89&lt;&gt;"",C89&lt;&gt;"Vacant",C89&lt;&gt;"Manager"),IF('F-TIV'!J86&lt;&gt;0,'F-TIV'!J86,"$0"),"")</f>
        <v/>
      </c>
      <c r="K89" s="1500" t="str">
        <f t="shared" si="16"/>
        <v/>
      </c>
      <c r="L89" s="1504" t="str">
        <f t="shared" si="17"/>
        <v/>
      </c>
      <c r="M89" s="1504" t="str">
        <f t="shared" si="18"/>
        <v/>
      </c>
      <c r="N89" s="1504" t="str">
        <f t="shared" si="19"/>
        <v/>
      </c>
      <c r="O89" s="1504" t="str">
        <f t="shared" si="20"/>
        <v/>
      </c>
      <c r="P89" s="1504" t="str">
        <f t="shared" si="21"/>
        <v/>
      </c>
      <c r="Q89" s="1504" t="str">
        <f t="shared" si="22"/>
        <v/>
      </c>
      <c r="R89" s="1504" t="str">
        <f t="shared" si="23"/>
        <v/>
      </c>
      <c r="S89" s="1504" t="str">
        <f t="shared" si="24"/>
        <v/>
      </c>
      <c r="T89" s="1504" t="str">
        <f t="shared" si="25"/>
        <v/>
      </c>
      <c r="U89" s="1504" t="str">
        <f t="shared" si="26"/>
        <v/>
      </c>
      <c r="V89" s="1503" t="str">
        <f>IF(AND(C89&lt;&gt;"",C89&lt;&gt;"Vacant",C89&lt;&gt;"Manager"),'F-TIV'!O86,"")</f>
        <v/>
      </c>
      <c r="W89" s="1502" t="str">
        <f>IF(AND(C89&lt;&gt;"",C89&lt;&gt;"Vacant",C89&lt;&gt;"Manager"),'F-TIV'!P86,"")</f>
        <v/>
      </c>
      <c r="X89" s="1498" t="str">
        <f t="shared" si="27"/>
        <v/>
      </c>
      <c r="Y89" s="1501" t="str">
        <f>IF('F-TIV'!G86&lt;&gt;"",'F-TIV'!G86,"")</f>
        <v/>
      </c>
      <c r="Z89" s="1500" t="str">
        <f>IF(AND(C89&lt;&gt;"",C89&lt;&gt;"Vacant",C89&lt;&gt;"Manager"),'F-TIV'!L86,"")</f>
        <v/>
      </c>
      <c r="AA89" s="1499" t="str">
        <f t="shared" si="28"/>
        <v/>
      </c>
      <c r="AB89" s="1498" t="str">
        <f t="shared" si="29"/>
        <v/>
      </c>
      <c r="AC89" s="1426"/>
      <c r="AD89" s="1426"/>
      <c r="AE89" s="1426"/>
      <c r="AG89" s="1497"/>
      <c r="AL89" s="1496"/>
      <c r="AN89" s="1496"/>
      <c r="AO89" s="1496"/>
      <c r="AP89" s="1496"/>
      <c r="AQ89" s="1496"/>
      <c r="AR89" s="1496"/>
    </row>
    <row r="90" spans="2:44" s="1442" customFormat="1" ht="11.25" customHeight="1">
      <c r="B90" s="1501" t="str">
        <f t="shared" si="15"/>
        <v>0</v>
      </c>
      <c r="C90" s="1506" t="str">
        <f>IF('F-TIV'!D87&lt;&gt;"",'F-TIV'!D87,"")</f>
        <v/>
      </c>
      <c r="D90" s="1501" t="str">
        <f>IF('F-TIV'!C87&lt;&gt;"",'F-TIV'!C87,"")</f>
        <v/>
      </c>
      <c r="E90" s="1502" t="str">
        <f>IF('F-TIV'!Q87&lt;&gt;"",'F-TIV'!Q87,"")</f>
        <v/>
      </c>
      <c r="F90" s="1502" t="str">
        <f>IF('F-TIV'!R87&lt;&gt;"",'F-TIV'!R87,"")</f>
        <v/>
      </c>
      <c r="G90" s="1505" t="str">
        <f>IF('F-TIV'!S87&lt;&gt;"",'F-TIV'!S87,"")</f>
        <v/>
      </c>
      <c r="H90" s="1501" t="str">
        <f>IF('F-TIV'!F87&lt;&gt;"",'F-TIV'!F87,"")</f>
        <v/>
      </c>
      <c r="I90" s="1500" t="str">
        <f>IF(AND(C90&lt;&gt;"",C90&lt;&gt;"Vacant",C90&lt;&gt;"Manager"),IF('F-TIV'!H87&lt;&gt;"",'F-TIV'!H87,""),"")</f>
        <v/>
      </c>
      <c r="J90" s="1500" t="str">
        <f>IF(AND(C90&lt;&gt;"",C90&lt;&gt;"Vacant",C90&lt;&gt;"Manager"),IF('F-TIV'!J87&lt;&gt;0,'F-TIV'!J87,"$0"),"")</f>
        <v/>
      </c>
      <c r="K90" s="1500" t="str">
        <f t="shared" si="16"/>
        <v/>
      </c>
      <c r="L90" s="1504" t="str">
        <f t="shared" si="17"/>
        <v/>
      </c>
      <c r="M90" s="1504" t="str">
        <f t="shared" si="18"/>
        <v/>
      </c>
      <c r="N90" s="1504" t="str">
        <f t="shared" si="19"/>
        <v/>
      </c>
      <c r="O90" s="1504" t="str">
        <f t="shared" si="20"/>
        <v/>
      </c>
      <c r="P90" s="1504" t="str">
        <f t="shared" si="21"/>
        <v/>
      </c>
      <c r="Q90" s="1504" t="str">
        <f t="shared" si="22"/>
        <v/>
      </c>
      <c r="R90" s="1504" t="str">
        <f t="shared" si="23"/>
        <v/>
      </c>
      <c r="S90" s="1504" t="str">
        <f t="shared" si="24"/>
        <v/>
      </c>
      <c r="T90" s="1504" t="str">
        <f t="shared" si="25"/>
        <v/>
      </c>
      <c r="U90" s="1504" t="str">
        <f t="shared" si="26"/>
        <v/>
      </c>
      <c r="V90" s="1503" t="str">
        <f>IF(AND(C90&lt;&gt;"",C90&lt;&gt;"Vacant",C90&lt;&gt;"Manager"),'F-TIV'!O87,"")</f>
        <v/>
      </c>
      <c r="W90" s="1502" t="str">
        <f>IF(AND(C90&lt;&gt;"",C90&lt;&gt;"Vacant",C90&lt;&gt;"Manager"),'F-TIV'!P87,"")</f>
        <v/>
      </c>
      <c r="X90" s="1498" t="str">
        <f t="shared" si="27"/>
        <v/>
      </c>
      <c r="Y90" s="1501" t="str">
        <f>IF('F-TIV'!G87&lt;&gt;"",'F-TIV'!G87,"")</f>
        <v/>
      </c>
      <c r="Z90" s="1500" t="str">
        <f>IF(AND(C90&lt;&gt;"",C90&lt;&gt;"Vacant",C90&lt;&gt;"Manager"),'F-TIV'!L87,"")</f>
        <v/>
      </c>
      <c r="AA90" s="1499" t="str">
        <f t="shared" si="28"/>
        <v/>
      </c>
      <c r="AB90" s="1498" t="str">
        <f t="shared" si="29"/>
        <v/>
      </c>
      <c r="AC90" s="1426"/>
      <c r="AD90" s="1426"/>
      <c r="AE90" s="1426"/>
      <c r="AG90" s="1497"/>
      <c r="AL90" s="1496"/>
      <c r="AN90" s="1496"/>
      <c r="AO90" s="1496"/>
      <c r="AP90" s="1496"/>
      <c r="AQ90" s="1496"/>
      <c r="AR90" s="1496"/>
    </row>
    <row r="91" spans="2:44" s="1442" customFormat="1" ht="11.25" customHeight="1">
      <c r="B91" s="1501" t="str">
        <f t="shared" si="15"/>
        <v>0</v>
      </c>
      <c r="C91" s="1506" t="str">
        <f>IF('F-TIV'!D88&lt;&gt;"",'F-TIV'!D88,"")</f>
        <v/>
      </c>
      <c r="D91" s="1501" t="str">
        <f>IF('F-TIV'!C88&lt;&gt;"",'F-TIV'!C88,"")</f>
        <v/>
      </c>
      <c r="E91" s="1502" t="str">
        <f>IF('F-TIV'!Q88&lt;&gt;"",'F-TIV'!Q88,"")</f>
        <v/>
      </c>
      <c r="F91" s="1502" t="str">
        <f>IF('F-TIV'!R88&lt;&gt;"",'F-TIV'!R88,"")</f>
        <v/>
      </c>
      <c r="G91" s="1505" t="str">
        <f>IF('F-TIV'!S88&lt;&gt;"",'F-TIV'!S88,"")</f>
        <v/>
      </c>
      <c r="H91" s="1501" t="str">
        <f>IF('F-TIV'!F88&lt;&gt;"",'F-TIV'!F88,"")</f>
        <v/>
      </c>
      <c r="I91" s="1500" t="str">
        <f>IF(AND(C91&lt;&gt;"",C91&lt;&gt;"Vacant",C91&lt;&gt;"Manager"),IF('F-TIV'!H88&lt;&gt;"",'F-TIV'!H88,""),"")</f>
        <v/>
      </c>
      <c r="J91" s="1500" t="str">
        <f>IF(AND(C91&lt;&gt;"",C91&lt;&gt;"Vacant",C91&lt;&gt;"Manager"),IF('F-TIV'!J88&lt;&gt;0,'F-TIV'!J88,"$0"),"")</f>
        <v/>
      </c>
      <c r="K91" s="1500" t="str">
        <f t="shared" si="16"/>
        <v/>
      </c>
      <c r="L91" s="1504" t="str">
        <f t="shared" si="17"/>
        <v/>
      </c>
      <c r="M91" s="1504" t="str">
        <f t="shared" si="18"/>
        <v/>
      </c>
      <c r="N91" s="1504" t="str">
        <f t="shared" si="19"/>
        <v/>
      </c>
      <c r="O91" s="1504" t="str">
        <f t="shared" si="20"/>
        <v/>
      </c>
      <c r="P91" s="1504" t="str">
        <f t="shared" si="21"/>
        <v/>
      </c>
      <c r="Q91" s="1504" t="str">
        <f t="shared" si="22"/>
        <v/>
      </c>
      <c r="R91" s="1504" t="str">
        <f t="shared" si="23"/>
        <v/>
      </c>
      <c r="S91" s="1504" t="str">
        <f t="shared" si="24"/>
        <v/>
      </c>
      <c r="T91" s="1504" t="str">
        <f t="shared" si="25"/>
        <v/>
      </c>
      <c r="U91" s="1504" t="str">
        <f t="shared" si="26"/>
        <v/>
      </c>
      <c r="V91" s="1503" t="str">
        <f>IF(AND(C91&lt;&gt;"",C91&lt;&gt;"Vacant",C91&lt;&gt;"Manager"),'F-TIV'!O88,"")</f>
        <v/>
      </c>
      <c r="W91" s="1502" t="str">
        <f>IF(AND(C91&lt;&gt;"",C91&lt;&gt;"Vacant",C91&lt;&gt;"Manager"),'F-TIV'!P88,"")</f>
        <v/>
      </c>
      <c r="X91" s="1498" t="str">
        <f t="shared" si="27"/>
        <v/>
      </c>
      <c r="Y91" s="1501" t="str">
        <f>IF('F-TIV'!G88&lt;&gt;"",'F-TIV'!G88,"")</f>
        <v/>
      </c>
      <c r="Z91" s="1500" t="str">
        <f>IF(AND(C91&lt;&gt;"",C91&lt;&gt;"Vacant",C91&lt;&gt;"Manager"),'F-TIV'!L88,"")</f>
        <v/>
      </c>
      <c r="AA91" s="1499" t="str">
        <f t="shared" si="28"/>
        <v/>
      </c>
      <c r="AB91" s="1498" t="str">
        <f t="shared" si="29"/>
        <v/>
      </c>
      <c r="AC91" s="1426"/>
      <c r="AD91" s="1426"/>
      <c r="AE91" s="1426"/>
      <c r="AG91" s="1497"/>
      <c r="AL91" s="1496"/>
      <c r="AN91" s="1496"/>
      <c r="AO91" s="1496"/>
      <c r="AP91" s="1496"/>
      <c r="AQ91" s="1496"/>
      <c r="AR91" s="1496"/>
    </row>
    <row r="92" spans="2:44" s="1442" customFormat="1" ht="11.25" customHeight="1">
      <c r="B92" s="1501" t="str">
        <f t="shared" si="15"/>
        <v>0</v>
      </c>
      <c r="C92" s="1506" t="str">
        <f>IF('F-TIV'!D89&lt;&gt;"",'F-TIV'!D89,"")</f>
        <v/>
      </c>
      <c r="D92" s="1501" t="str">
        <f>IF('F-TIV'!C89&lt;&gt;"",'F-TIV'!C89,"")</f>
        <v/>
      </c>
      <c r="E92" s="1502" t="str">
        <f>IF('F-TIV'!Q89&lt;&gt;"",'F-TIV'!Q89,"")</f>
        <v/>
      </c>
      <c r="F92" s="1502" t="str">
        <f>IF('F-TIV'!R89&lt;&gt;"",'F-TIV'!R89,"")</f>
        <v/>
      </c>
      <c r="G92" s="1505" t="str">
        <f>IF('F-TIV'!S89&lt;&gt;"",'F-TIV'!S89,"")</f>
        <v/>
      </c>
      <c r="H92" s="1501" t="str">
        <f>IF('F-TIV'!F89&lt;&gt;"",'F-TIV'!F89,"")</f>
        <v/>
      </c>
      <c r="I92" s="1500" t="str">
        <f>IF(AND(C92&lt;&gt;"",C92&lt;&gt;"Vacant",C92&lt;&gt;"Manager"),IF('F-TIV'!H89&lt;&gt;"",'F-TIV'!H89,""),"")</f>
        <v/>
      </c>
      <c r="J92" s="1500" t="str">
        <f>IF(AND(C92&lt;&gt;"",C92&lt;&gt;"Vacant",C92&lt;&gt;"Manager"),IF('F-TIV'!J89&lt;&gt;0,'F-TIV'!J89,"$0"),"")</f>
        <v/>
      </c>
      <c r="K92" s="1500" t="str">
        <f t="shared" si="16"/>
        <v/>
      </c>
      <c r="L92" s="1504" t="str">
        <f t="shared" si="17"/>
        <v/>
      </c>
      <c r="M92" s="1504" t="str">
        <f t="shared" si="18"/>
        <v/>
      </c>
      <c r="N92" s="1504" t="str">
        <f t="shared" si="19"/>
        <v/>
      </c>
      <c r="O92" s="1504" t="str">
        <f t="shared" si="20"/>
        <v/>
      </c>
      <c r="P92" s="1504" t="str">
        <f t="shared" si="21"/>
        <v/>
      </c>
      <c r="Q92" s="1504" t="str">
        <f t="shared" si="22"/>
        <v/>
      </c>
      <c r="R92" s="1504" t="str">
        <f t="shared" si="23"/>
        <v/>
      </c>
      <c r="S92" s="1504" t="str">
        <f t="shared" si="24"/>
        <v/>
      </c>
      <c r="T92" s="1504" t="str">
        <f t="shared" si="25"/>
        <v/>
      </c>
      <c r="U92" s="1504" t="str">
        <f t="shared" si="26"/>
        <v/>
      </c>
      <c r="V92" s="1503" t="str">
        <f>IF(AND(C92&lt;&gt;"",C92&lt;&gt;"Vacant",C92&lt;&gt;"Manager"),'F-TIV'!O89,"")</f>
        <v/>
      </c>
      <c r="W92" s="1502" t="str">
        <f>IF(AND(C92&lt;&gt;"",C92&lt;&gt;"Vacant",C92&lt;&gt;"Manager"),'F-TIV'!P89,"")</f>
        <v/>
      </c>
      <c r="X92" s="1498" t="str">
        <f t="shared" si="27"/>
        <v/>
      </c>
      <c r="Y92" s="1501" t="str">
        <f>IF('F-TIV'!G89&lt;&gt;"",'F-TIV'!G89,"")</f>
        <v/>
      </c>
      <c r="Z92" s="1500" t="str">
        <f>IF(AND(C92&lt;&gt;"",C92&lt;&gt;"Vacant",C92&lt;&gt;"Manager"),'F-TIV'!L89,"")</f>
        <v/>
      </c>
      <c r="AA92" s="1499" t="str">
        <f t="shared" si="28"/>
        <v/>
      </c>
      <c r="AB92" s="1498" t="str">
        <f t="shared" si="29"/>
        <v/>
      </c>
      <c r="AC92" s="1426"/>
      <c r="AD92" s="1426"/>
      <c r="AE92" s="1426"/>
      <c r="AG92" s="1497"/>
      <c r="AL92" s="1496"/>
      <c r="AN92" s="1496"/>
      <c r="AO92" s="1496"/>
      <c r="AP92" s="1496"/>
      <c r="AQ92" s="1496"/>
      <c r="AR92" s="1496"/>
    </row>
    <row r="93" spans="2:44" s="1442" customFormat="1" ht="11.25" customHeight="1">
      <c r="B93" s="1501" t="str">
        <f t="shared" si="15"/>
        <v>0</v>
      </c>
      <c r="C93" s="1506" t="str">
        <f>IF('F-TIV'!D90&lt;&gt;"",'F-TIV'!D90,"")</f>
        <v/>
      </c>
      <c r="D93" s="1501" t="str">
        <f>IF('F-TIV'!C90&lt;&gt;"",'F-TIV'!C90,"")</f>
        <v/>
      </c>
      <c r="E93" s="1502" t="str">
        <f>IF('F-TIV'!Q90&lt;&gt;"",'F-TIV'!Q90,"")</f>
        <v/>
      </c>
      <c r="F93" s="1502" t="str">
        <f>IF('F-TIV'!R90&lt;&gt;"",'F-TIV'!R90,"")</f>
        <v/>
      </c>
      <c r="G93" s="1505" t="str">
        <f>IF('F-TIV'!S90&lt;&gt;"",'F-TIV'!S90,"")</f>
        <v/>
      </c>
      <c r="H93" s="1501" t="str">
        <f>IF('F-TIV'!F90&lt;&gt;"",'F-TIV'!F90,"")</f>
        <v/>
      </c>
      <c r="I93" s="1500" t="str">
        <f>IF(AND(C93&lt;&gt;"",C93&lt;&gt;"Vacant",C93&lt;&gt;"Manager"),IF('F-TIV'!H90&lt;&gt;"",'F-TIV'!H90,""),"")</f>
        <v/>
      </c>
      <c r="J93" s="1500" t="str">
        <f>IF(AND(C93&lt;&gt;"",C93&lt;&gt;"Vacant",C93&lt;&gt;"Manager"),IF('F-TIV'!J90&lt;&gt;0,'F-TIV'!J90,"$0"),"")</f>
        <v/>
      </c>
      <c r="K93" s="1500" t="str">
        <f t="shared" si="16"/>
        <v/>
      </c>
      <c r="L93" s="1504" t="str">
        <f t="shared" si="17"/>
        <v/>
      </c>
      <c r="M93" s="1504" t="str">
        <f t="shared" si="18"/>
        <v/>
      </c>
      <c r="N93" s="1504" t="str">
        <f t="shared" si="19"/>
        <v/>
      </c>
      <c r="O93" s="1504" t="str">
        <f t="shared" si="20"/>
        <v/>
      </c>
      <c r="P93" s="1504" t="str">
        <f t="shared" si="21"/>
        <v/>
      </c>
      <c r="Q93" s="1504" t="str">
        <f t="shared" si="22"/>
        <v/>
      </c>
      <c r="R93" s="1504" t="str">
        <f t="shared" si="23"/>
        <v/>
      </c>
      <c r="S93" s="1504" t="str">
        <f t="shared" si="24"/>
        <v/>
      </c>
      <c r="T93" s="1504" t="str">
        <f t="shared" si="25"/>
        <v/>
      </c>
      <c r="U93" s="1504" t="str">
        <f t="shared" si="26"/>
        <v/>
      </c>
      <c r="V93" s="1503" t="str">
        <f>IF(AND(C93&lt;&gt;"",C93&lt;&gt;"Vacant",C93&lt;&gt;"Manager"),'F-TIV'!O90,"")</f>
        <v/>
      </c>
      <c r="W93" s="1502" t="str">
        <f>IF(AND(C93&lt;&gt;"",C93&lt;&gt;"Vacant",C93&lt;&gt;"Manager"),'F-TIV'!P90,"")</f>
        <v/>
      </c>
      <c r="X93" s="1498" t="str">
        <f t="shared" si="27"/>
        <v/>
      </c>
      <c r="Y93" s="1501" t="str">
        <f>IF('F-TIV'!G90&lt;&gt;"",'F-TIV'!G90,"")</f>
        <v/>
      </c>
      <c r="Z93" s="1500" t="str">
        <f>IF(AND(C93&lt;&gt;"",C93&lt;&gt;"Vacant",C93&lt;&gt;"Manager"),'F-TIV'!L90,"")</f>
        <v/>
      </c>
      <c r="AA93" s="1499" t="str">
        <f t="shared" si="28"/>
        <v/>
      </c>
      <c r="AB93" s="1498" t="str">
        <f t="shared" si="29"/>
        <v/>
      </c>
      <c r="AC93" s="1426"/>
      <c r="AD93" s="1426"/>
      <c r="AE93" s="1426"/>
      <c r="AG93" s="1497"/>
      <c r="AL93" s="1496"/>
      <c r="AN93" s="1496"/>
      <c r="AO93" s="1496"/>
      <c r="AP93" s="1496"/>
      <c r="AQ93" s="1496"/>
      <c r="AR93" s="1496"/>
    </row>
    <row r="94" spans="2:44" s="1442" customFormat="1" ht="11.25" customHeight="1">
      <c r="B94" s="1501" t="str">
        <f t="shared" ref="B94:B125" si="30">IF((C94&lt;&gt;""),"1","0")</f>
        <v>0</v>
      </c>
      <c r="C94" s="1506" t="str">
        <f>IF('F-TIV'!D91&lt;&gt;"",'F-TIV'!D91,"")</f>
        <v/>
      </c>
      <c r="D94" s="1501" t="str">
        <f>IF('F-TIV'!C91&lt;&gt;"",'F-TIV'!C91,"")</f>
        <v/>
      </c>
      <c r="E94" s="1502" t="str">
        <f>IF('F-TIV'!Q91&lt;&gt;"",'F-TIV'!Q91,"")</f>
        <v/>
      </c>
      <c r="F94" s="1502" t="str">
        <f>IF('F-TIV'!R91&lt;&gt;"",'F-TIV'!R91,"")</f>
        <v/>
      </c>
      <c r="G94" s="1505" t="str">
        <f>IF('F-TIV'!S91&lt;&gt;"",'F-TIV'!S91,"")</f>
        <v/>
      </c>
      <c r="H94" s="1501" t="str">
        <f>IF('F-TIV'!F91&lt;&gt;"",'F-TIV'!F91,"")</f>
        <v/>
      </c>
      <c r="I94" s="1500" t="str">
        <f>IF(AND(C94&lt;&gt;"",C94&lt;&gt;"Vacant",C94&lt;&gt;"Manager"),IF('F-TIV'!H91&lt;&gt;"",'F-TIV'!H91,""),"")</f>
        <v/>
      </c>
      <c r="J94" s="1500" t="str">
        <f>IF(AND(C94&lt;&gt;"",C94&lt;&gt;"Vacant",C94&lt;&gt;"Manager"),IF('F-TIV'!J91&lt;&gt;0,'F-TIV'!J91,"$0"),"")</f>
        <v/>
      </c>
      <c r="K94" s="1500" t="str">
        <f t="shared" ref="K94:K125" si="31">IFERROR(I94-J94,"")</f>
        <v/>
      </c>
      <c r="L94" s="1504" t="str">
        <f t="shared" ref="L94:L125" si="32">IF(AND(C94&lt;&gt;"Vacant",C94&lt;&gt;"Manager",C94&lt;&gt;""),IF(C94="","",IF(H94="Studio",_VLI1,IF(H94=1,_VLI2,IF(H94=2,_VLI3,IF(H94=3,_VLI5,IF(H94=4,_VLI6,IF(H94=5,_VLI7,_VLI8))))))),"")</f>
        <v/>
      </c>
      <c r="M94" s="1504" t="str">
        <f t="shared" ref="M94:M125" si="33">IF(AND(C94&lt;&gt;"Vacant",C94&lt;&gt;"",C94&lt;&gt;"Manager"),(IF(L94&gt;=K94,"Yes",IF(L94&lt;K94,"No"))),"")</f>
        <v/>
      </c>
      <c r="N94" s="1504" t="str">
        <f t="shared" ref="N94:N125" si="34">IF(AND(C94&lt;&gt;"Vacant",C94&lt;&gt;"",C94&lt;&gt;"Manager"),IF(H94="","",IF(H94="Studio",RENT1,IF(H94=1,RENT2,IF(H94=2,RENT3,IF(H94=3,RENT5,IF(H94=4,RENT6,IF(H94=5,RENT7,RENT8))))))),"")</f>
        <v/>
      </c>
      <c r="O94" s="1504" t="str">
        <f t="shared" ref="O94:O125" si="35">IF(AND(C94&lt;&gt;"Vacant",C94&lt;&gt;"",C94&lt;&gt;"Manager"),(IF(N94&gt;=K94,"Yes",IF(N94&lt;K94,"No"))),"")</f>
        <v/>
      </c>
      <c r="P94" s="1504" t="str">
        <f t="shared" ref="P94:P125" si="36">IF(AND(C94&lt;&gt;"Vacant", C94&lt;&gt;"Manager",C94&lt;&gt;""),IF(H94="","",IF(H94="Studio",RENTA1,IF(H94=1,RENTA2,IF(H94=2,RENTA3,IF(H94=3,RENTA5,IF(H94=4,RENTA6,IF(H94=5,RENTA7,RENTA8))))))),"")</f>
        <v/>
      </c>
      <c r="Q94" s="1504" t="str">
        <f t="shared" ref="Q94:Q125" si="37">IF(AND(C94&lt;&gt;"Vacant",C94&lt;&gt;"",C94&lt;&gt;"Manager"),(IF(P94&gt;=K94,"Yes",IF(P94&lt;K94,"No"))),"")</f>
        <v/>
      </c>
      <c r="R94" s="1504" t="str">
        <f t="shared" ref="R94:R125" si="38">IF(AND(C94&lt;&gt;"Vacant",C94&lt;&gt;"Manager",C94&lt;&gt;""),IF(H94="","",IF(H94="Studio",$F$16,IF(H94=1,$G$16,IF(H94=2,$H$16,IF(H94=3,$J$16,IF(H94=4,$K$16,IF(H94=5,$L$16,$M$16))))))),"")</f>
        <v/>
      </c>
      <c r="S94" s="1504" t="str">
        <f t="shared" ref="S94:S125" si="39">IF(AND(C94&lt;&gt;"Vacant",C94&lt;&gt;"",C94&lt;&gt;"Manager"),(IF(R94&gt;=K94,"Yes",IF(R94&lt;K94,"No"))),"")</f>
        <v/>
      </c>
      <c r="T94" s="1504" t="str">
        <f t="shared" ref="T94:T125" si="40">IF(AND(C94&lt;&gt;"Vacant",C94&lt;&gt;"Manager",C94&lt;&gt;""),IF(C94="","",IF(H94="Studio",$F$17,IF(H94=1,$G$17,IF(H94=2,$H$17,IF(H94=3,$J$17,IF(H94=4,$K$17,IF(H94=5,$L$17,$M$17))))))),"")</f>
        <v/>
      </c>
      <c r="U94" s="1504" t="str">
        <f t="shared" ref="U94:U125" si="41">IF(AND(C94&lt;&gt;"Vacant",C94&lt;&gt;"",C94&lt;&gt;"Manager"),(IF(T94&gt;=K94,"Yes",IF(T94&lt;K94,"No"))),"")</f>
        <v/>
      </c>
      <c r="V94" s="1503" t="str">
        <f>IF(AND(C94&lt;&gt;"",C94&lt;&gt;"Vacant",C94&lt;&gt;"Manager"),'F-TIV'!O91,"")</f>
        <v/>
      </c>
      <c r="W94" s="1502" t="str">
        <f>IF(AND(C94&lt;&gt;"",C94&lt;&gt;"Vacant",C94&lt;&gt;"Manager"),'F-TIV'!P91,"")</f>
        <v/>
      </c>
      <c r="X94" s="1498" t="str">
        <f t="shared" ref="X94:X125" si="42">IFERROR(IF(AND(C94&lt;&gt;"",C94&lt;&gt;"Vacant",C94&lt;&gt;"Manager",Z94&gt;=0),K94*12/Z94,""),"0.0%")</f>
        <v/>
      </c>
      <c r="Y94" s="1501" t="str">
        <f>IF('F-TIV'!G91&lt;&gt;"",'F-TIV'!G91,"")</f>
        <v/>
      </c>
      <c r="Z94" s="1500" t="str">
        <f>IF(AND(C94&lt;&gt;"",C94&lt;&gt;"Vacant",C94&lt;&gt;"Manager"),'F-TIV'!L91,"")</f>
        <v/>
      </c>
      <c r="AA94" s="1499" t="str">
        <f t="shared" ref="AA94:AA125" si="43">IF(AND(C94&lt;&gt;"Vacant",C94&lt;&gt;"",C94&lt;&gt;"Manager"),IF(C94=0,"",IF(Y94=1,_PER1,IF(Y94=2,_PER2,IF(Y94=3,_PER3,IF(Y94=4,_PER4,IF(Y94=5,_PER5,IF(Y94=6,_PER6,IF(Y94=7,_PER7,_PER8)))))))),"")</f>
        <v/>
      </c>
      <c r="AB94" s="1498" t="str">
        <f t="shared" ref="AB94:AB125" si="44">IFERROR(IF(AND(C94&lt;&gt;"",C94&lt;&gt;"Vacant",C94&lt;&gt;"Manager"),ROUNDDOWN(Z94/AA94,2),""),"0.0%")</f>
        <v/>
      </c>
      <c r="AC94" s="1426"/>
      <c r="AD94" s="1426"/>
      <c r="AE94" s="1426"/>
      <c r="AG94" s="1497"/>
      <c r="AL94" s="1496"/>
      <c r="AN94" s="1496"/>
      <c r="AO94" s="1496"/>
      <c r="AP94" s="1496"/>
      <c r="AQ94" s="1496"/>
      <c r="AR94" s="1496"/>
    </row>
    <row r="95" spans="2:44" s="1442" customFormat="1" ht="11.25" customHeight="1">
      <c r="B95" s="1501" t="str">
        <f t="shared" si="30"/>
        <v>0</v>
      </c>
      <c r="C95" s="1506" t="str">
        <f>IF('F-TIV'!D92&lt;&gt;"",'F-TIV'!D92,"")</f>
        <v/>
      </c>
      <c r="D95" s="1501" t="str">
        <f>IF('F-TIV'!C92&lt;&gt;"",'F-TIV'!C92,"")</f>
        <v/>
      </c>
      <c r="E95" s="1502" t="str">
        <f>IF('F-TIV'!Q92&lt;&gt;"",'F-TIV'!Q92,"")</f>
        <v/>
      </c>
      <c r="F95" s="1502" t="str">
        <f>IF('F-TIV'!R92&lt;&gt;"",'F-TIV'!R92,"")</f>
        <v/>
      </c>
      <c r="G95" s="1505" t="str">
        <f>IF('F-TIV'!S92&lt;&gt;"",'F-TIV'!S92,"")</f>
        <v/>
      </c>
      <c r="H95" s="1501" t="str">
        <f>IF('F-TIV'!F92&lt;&gt;"",'F-TIV'!F92,"")</f>
        <v/>
      </c>
      <c r="I95" s="1500" t="str">
        <f>IF(AND(C95&lt;&gt;"",C95&lt;&gt;"Vacant",C95&lt;&gt;"Manager"),IF('F-TIV'!H92&lt;&gt;"",'F-TIV'!H92,""),"")</f>
        <v/>
      </c>
      <c r="J95" s="1500" t="str">
        <f>IF(AND(C95&lt;&gt;"",C95&lt;&gt;"Vacant",C95&lt;&gt;"Manager"),IF('F-TIV'!J92&lt;&gt;0,'F-TIV'!J92,"$0"),"")</f>
        <v/>
      </c>
      <c r="K95" s="1500" t="str">
        <f t="shared" si="31"/>
        <v/>
      </c>
      <c r="L95" s="1504" t="str">
        <f t="shared" si="32"/>
        <v/>
      </c>
      <c r="M95" s="1504" t="str">
        <f t="shared" si="33"/>
        <v/>
      </c>
      <c r="N95" s="1504" t="str">
        <f t="shared" si="34"/>
        <v/>
      </c>
      <c r="O95" s="1504" t="str">
        <f t="shared" si="35"/>
        <v/>
      </c>
      <c r="P95" s="1504" t="str">
        <f t="shared" si="36"/>
        <v/>
      </c>
      <c r="Q95" s="1504" t="str">
        <f t="shared" si="37"/>
        <v/>
      </c>
      <c r="R95" s="1504" t="str">
        <f t="shared" si="38"/>
        <v/>
      </c>
      <c r="S95" s="1504" t="str">
        <f t="shared" si="39"/>
        <v/>
      </c>
      <c r="T95" s="1504" t="str">
        <f t="shared" si="40"/>
        <v/>
      </c>
      <c r="U95" s="1504" t="str">
        <f t="shared" si="41"/>
        <v/>
      </c>
      <c r="V95" s="1503" t="str">
        <f>IF(AND(C95&lt;&gt;"",C95&lt;&gt;"Vacant",C95&lt;&gt;"Manager"),'F-TIV'!O92,"")</f>
        <v/>
      </c>
      <c r="W95" s="1502" t="str">
        <f>IF(AND(C95&lt;&gt;"",C95&lt;&gt;"Vacant",C95&lt;&gt;"Manager"),'F-TIV'!P92,"")</f>
        <v/>
      </c>
      <c r="X95" s="1498" t="str">
        <f t="shared" si="42"/>
        <v/>
      </c>
      <c r="Y95" s="1501" t="str">
        <f>IF('F-TIV'!G92&lt;&gt;"",'F-TIV'!G92,"")</f>
        <v/>
      </c>
      <c r="Z95" s="1500" t="str">
        <f>IF(AND(C95&lt;&gt;"",C95&lt;&gt;"Vacant",C95&lt;&gt;"Manager"),'F-TIV'!L92,"")</f>
        <v/>
      </c>
      <c r="AA95" s="1499" t="str">
        <f t="shared" si="43"/>
        <v/>
      </c>
      <c r="AB95" s="1498" t="str">
        <f t="shared" si="44"/>
        <v/>
      </c>
      <c r="AC95" s="1426"/>
      <c r="AD95" s="1426"/>
      <c r="AE95" s="1426"/>
      <c r="AG95" s="1497"/>
      <c r="AL95" s="1496"/>
      <c r="AN95" s="1496"/>
      <c r="AO95" s="1496"/>
      <c r="AP95" s="1496"/>
      <c r="AQ95" s="1496"/>
      <c r="AR95" s="1496"/>
    </row>
    <row r="96" spans="2:44" s="1442" customFormat="1" ht="11.25" customHeight="1">
      <c r="B96" s="1501" t="str">
        <f t="shared" si="30"/>
        <v>0</v>
      </c>
      <c r="C96" s="1506" t="str">
        <f>IF('F-TIV'!D93&lt;&gt;"",'F-TIV'!D93,"")</f>
        <v/>
      </c>
      <c r="D96" s="1501" t="str">
        <f>IF('F-TIV'!C93&lt;&gt;"",'F-TIV'!C93,"")</f>
        <v/>
      </c>
      <c r="E96" s="1502" t="str">
        <f>IF('F-TIV'!Q93&lt;&gt;"",'F-TIV'!Q93,"")</f>
        <v/>
      </c>
      <c r="F96" s="1502" t="str">
        <f>IF('F-TIV'!R93&lt;&gt;"",'F-TIV'!R93,"")</f>
        <v/>
      </c>
      <c r="G96" s="1505" t="str">
        <f>IF('F-TIV'!S93&lt;&gt;"",'F-TIV'!S93,"")</f>
        <v/>
      </c>
      <c r="H96" s="1501" t="str">
        <f>IF('F-TIV'!F93&lt;&gt;"",'F-TIV'!F93,"")</f>
        <v/>
      </c>
      <c r="I96" s="1500" t="str">
        <f>IF(AND(C96&lt;&gt;"",C96&lt;&gt;"Vacant",C96&lt;&gt;"Manager"),IF('F-TIV'!H93&lt;&gt;"",'F-TIV'!H93,""),"")</f>
        <v/>
      </c>
      <c r="J96" s="1500" t="str">
        <f>IF(AND(C96&lt;&gt;"",C96&lt;&gt;"Vacant",C96&lt;&gt;"Manager"),IF('F-TIV'!J93&lt;&gt;0,'F-TIV'!J93,"$0"),"")</f>
        <v/>
      </c>
      <c r="K96" s="1500" t="str">
        <f t="shared" si="31"/>
        <v/>
      </c>
      <c r="L96" s="1504" t="str">
        <f t="shared" si="32"/>
        <v/>
      </c>
      <c r="M96" s="1504" t="str">
        <f t="shared" si="33"/>
        <v/>
      </c>
      <c r="N96" s="1504" t="str">
        <f t="shared" si="34"/>
        <v/>
      </c>
      <c r="O96" s="1504" t="str">
        <f t="shared" si="35"/>
        <v/>
      </c>
      <c r="P96" s="1504" t="str">
        <f t="shared" si="36"/>
        <v/>
      </c>
      <c r="Q96" s="1504" t="str">
        <f t="shared" si="37"/>
        <v/>
      </c>
      <c r="R96" s="1504" t="str">
        <f t="shared" si="38"/>
        <v/>
      </c>
      <c r="S96" s="1504" t="str">
        <f t="shared" si="39"/>
        <v/>
      </c>
      <c r="T96" s="1504" t="str">
        <f t="shared" si="40"/>
        <v/>
      </c>
      <c r="U96" s="1504" t="str">
        <f t="shared" si="41"/>
        <v/>
      </c>
      <c r="V96" s="1503" t="str">
        <f>IF(AND(C96&lt;&gt;"",C96&lt;&gt;"Vacant",C96&lt;&gt;"Manager"),'F-TIV'!O93,"")</f>
        <v/>
      </c>
      <c r="W96" s="1502" t="str">
        <f>IF(AND(C96&lt;&gt;"",C96&lt;&gt;"Vacant",C96&lt;&gt;"Manager"),'F-TIV'!P93,"")</f>
        <v/>
      </c>
      <c r="X96" s="1498" t="str">
        <f t="shared" si="42"/>
        <v/>
      </c>
      <c r="Y96" s="1501" t="str">
        <f>IF('F-TIV'!G93&lt;&gt;"",'F-TIV'!G93,"")</f>
        <v/>
      </c>
      <c r="Z96" s="1500" t="str">
        <f>IF(AND(C96&lt;&gt;"",C96&lt;&gt;"Vacant",C96&lt;&gt;"Manager"),'F-TIV'!L93,"")</f>
        <v/>
      </c>
      <c r="AA96" s="1499" t="str">
        <f t="shared" si="43"/>
        <v/>
      </c>
      <c r="AB96" s="1498" t="str">
        <f t="shared" si="44"/>
        <v/>
      </c>
      <c r="AC96" s="1426"/>
      <c r="AD96" s="1426"/>
      <c r="AE96" s="1426"/>
      <c r="AG96" s="1497"/>
      <c r="AL96" s="1496"/>
      <c r="AN96" s="1496"/>
      <c r="AO96" s="1496"/>
      <c r="AP96" s="1496"/>
      <c r="AQ96" s="1496"/>
      <c r="AR96" s="1496"/>
    </row>
    <row r="97" spans="2:44" s="1442" customFormat="1" ht="11.25" customHeight="1">
      <c r="B97" s="1501" t="str">
        <f t="shared" si="30"/>
        <v>0</v>
      </c>
      <c r="C97" s="1506" t="str">
        <f>IF('F-TIV'!D94&lt;&gt;"",'F-TIV'!D94,"")</f>
        <v/>
      </c>
      <c r="D97" s="1501" t="str">
        <f>IF('F-TIV'!C94&lt;&gt;"",'F-TIV'!C94,"")</f>
        <v/>
      </c>
      <c r="E97" s="1502" t="str">
        <f>IF('F-TIV'!Q94&lt;&gt;"",'F-TIV'!Q94,"")</f>
        <v/>
      </c>
      <c r="F97" s="1502" t="str">
        <f>IF('F-TIV'!R94&lt;&gt;"",'F-TIV'!R94,"")</f>
        <v/>
      </c>
      <c r="G97" s="1505" t="str">
        <f>IF('F-TIV'!S94&lt;&gt;"",'F-TIV'!S94,"")</f>
        <v/>
      </c>
      <c r="H97" s="1501" t="str">
        <f>IF('F-TIV'!F94&lt;&gt;"",'F-TIV'!F94,"")</f>
        <v/>
      </c>
      <c r="I97" s="1500" t="str">
        <f>IF(AND(C97&lt;&gt;"",C97&lt;&gt;"Vacant",C97&lt;&gt;"Manager"),IF('F-TIV'!H94&lt;&gt;"",'F-TIV'!H94,""),"")</f>
        <v/>
      </c>
      <c r="J97" s="1500" t="str">
        <f>IF(AND(C97&lt;&gt;"",C97&lt;&gt;"Vacant",C97&lt;&gt;"Manager"),IF('F-TIV'!J94&lt;&gt;0,'F-TIV'!J94,"$0"),"")</f>
        <v/>
      </c>
      <c r="K97" s="1500" t="str">
        <f t="shared" si="31"/>
        <v/>
      </c>
      <c r="L97" s="1504" t="str">
        <f t="shared" si="32"/>
        <v/>
      </c>
      <c r="M97" s="1504" t="str">
        <f t="shared" si="33"/>
        <v/>
      </c>
      <c r="N97" s="1504" t="str">
        <f t="shared" si="34"/>
        <v/>
      </c>
      <c r="O97" s="1504" t="str">
        <f t="shared" si="35"/>
        <v/>
      </c>
      <c r="P97" s="1504" t="str">
        <f t="shared" si="36"/>
        <v/>
      </c>
      <c r="Q97" s="1504" t="str">
        <f t="shared" si="37"/>
        <v/>
      </c>
      <c r="R97" s="1504" t="str">
        <f t="shared" si="38"/>
        <v/>
      </c>
      <c r="S97" s="1504" t="str">
        <f t="shared" si="39"/>
        <v/>
      </c>
      <c r="T97" s="1504" t="str">
        <f t="shared" si="40"/>
        <v/>
      </c>
      <c r="U97" s="1504" t="str">
        <f t="shared" si="41"/>
        <v/>
      </c>
      <c r="V97" s="1503" t="str">
        <f>IF(AND(C97&lt;&gt;"",C97&lt;&gt;"Vacant",C97&lt;&gt;"Manager"),'F-TIV'!O94,"")</f>
        <v/>
      </c>
      <c r="W97" s="1502" t="str">
        <f>IF(AND(C97&lt;&gt;"",C97&lt;&gt;"Vacant",C97&lt;&gt;"Manager"),'F-TIV'!P94,"")</f>
        <v/>
      </c>
      <c r="X97" s="1498" t="str">
        <f t="shared" si="42"/>
        <v/>
      </c>
      <c r="Y97" s="1501" t="str">
        <f>IF('F-TIV'!G94&lt;&gt;"",'F-TIV'!G94,"")</f>
        <v/>
      </c>
      <c r="Z97" s="1500" t="str">
        <f>IF(AND(C97&lt;&gt;"",C97&lt;&gt;"Vacant",C97&lt;&gt;"Manager"),'F-TIV'!L94,"")</f>
        <v/>
      </c>
      <c r="AA97" s="1499" t="str">
        <f t="shared" si="43"/>
        <v/>
      </c>
      <c r="AB97" s="1498" t="str">
        <f t="shared" si="44"/>
        <v/>
      </c>
      <c r="AC97" s="1426"/>
      <c r="AD97" s="1426"/>
      <c r="AE97" s="1426"/>
      <c r="AG97" s="1497"/>
      <c r="AL97" s="1496"/>
      <c r="AN97" s="1496"/>
      <c r="AO97" s="1496"/>
      <c r="AP97" s="1496"/>
      <c r="AQ97" s="1496"/>
      <c r="AR97" s="1496"/>
    </row>
    <row r="98" spans="2:44" s="1442" customFormat="1" ht="11.25" customHeight="1">
      <c r="B98" s="1501" t="str">
        <f t="shared" si="30"/>
        <v>0</v>
      </c>
      <c r="C98" s="1506" t="str">
        <f>IF('F-TIV'!D95&lt;&gt;"",'F-TIV'!D95,"")</f>
        <v/>
      </c>
      <c r="D98" s="1501" t="str">
        <f>IF('F-TIV'!C95&lt;&gt;"",'F-TIV'!C95,"")</f>
        <v/>
      </c>
      <c r="E98" s="1502" t="str">
        <f>IF('F-TIV'!Q95&lt;&gt;"",'F-TIV'!Q95,"")</f>
        <v/>
      </c>
      <c r="F98" s="1502" t="str">
        <f>IF('F-TIV'!R95&lt;&gt;"",'F-TIV'!R95,"")</f>
        <v/>
      </c>
      <c r="G98" s="1505" t="str">
        <f>IF('F-TIV'!S95&lt;&gt;"",'F-TIV'!S95,"")</f>
        <v/>
      </c>
      <c r="H98" s="1501" t="str">
        <f>IF('F-TIV'!F95&lt;&gt;"",'F-TIV'!F95,"")</f>
        <v/>
      </c>
      <c r="I98" s="1500" t="str">
        <f>IF(AND(C98&lt;&gt;"",C98&lt;&gt;"Vacant",C98&lt;&gt;"Manager"),IF('F-TIV'!H95&lt;&gt;"",'F-TIV'!H95,""),"")</f>
        <v/>
      </c>
      <c r="J98" s="1500" t="str">
        <f>IF(AND(C98&lt;&gt;"",C98&lt;&gt;"Vacant",C98&lt;&gt;"Manager"),IF('F-TIV'!J95&lt;&gt;0,'F-TIV'!J95,"$0"),"")</f>
        <v/>
      </c>
      <c r="K98" s="1500" t="str">
        <f t="shared" si="31"/>
        <v/>
      </c>
      <c r="L98" s="1504" t="str">
        <f t="shared" si="32"/>
        <v/>
      </c>
      <c r="M98" s="1504" t="str">
        <f t="shared" si="33"/>
        <v/>
      </c>
      <c r="N98" s="1504" t="str">
        <f t="shared" si="34"/>
        <v/>
      </c>
      <c r="O98" s="1504" t="str">
        <f t="shared" si="35"/>
        <v/>
      </c>
      <c r="P98" s="1504" t="str">
        <f t="shared" si="36"/>
        <v/>
      </c>
      <c r="Q98" s="1504" t="str">
        <f t="shared" si="37"/>
        <v/>
      </c>
      <c r="R98" s="1504" t="str">
        <f t="shared" si="38"/>
        <v/>
      </c>
      <c r="S98" s="1504" t="str">
        <f t="shared" si="39"/>
        <v/>
      </c>
      <c r="T98" s="1504" t="str">
        <f t="shared" si="40"/>
        <v/>
      </c>
      <c r="U98" s="1504" t="str">
        <f t="shared" si="41"/>
        <v/>
      </c>
      <c r="V98" s="1503" t="str">
        <f>IF(AND(C98&lt;&gt;"",C98&lt;&gt;"Vacant",C98&lt;&gt;"Manager"),'F-TIV'!O95,"")</f>
        <v/>
      </c>
      <c r="W98" s="1502" t="str">
        <f>IF(AND(C98&lt;&gt;"",C98&lt;&gt;"Vacant",C98&lt;&gt;"Manager"),'F-TIV'!P95,"")</f>
        <v/>
      </c>
      <c r="X98" s="1498" t="str">
        <f t="shared" si="42"/>
        <v/>
      </c>
      <c r="Y98" s="1501" t="str">
        <f>IF('F-TIV'!G95&lt;&gt;"",'F-TIV'!G95,"")</f>
        <v/>
      </c>
      <c r="Z98" s="1500" t="str">
        <f>IF(AND(C98&lt;&gt;"",C98&lt;&gt;"Vacant",C98&lt;&gt;"Manager"),'F-TIV'!L95,"")</f>
        <v/>
      </c>
      <c r="AA98" s="1499" t="str">
        <f t="shared" si="43"/>
        <v/>
      </c>
      <c r="AB98" s="1498" t="str">
        <f t="shared" si="44"/>
        <v/>
      </c>
      <c r="AC98" s="1426"/>
      <c r="AD98" s="1426"/>
      <c r="AE98" s="1426"/>
      <c r="AG98" s="1497"/>
      <c r="AL98" s="1496"/>
      <c r="AN98" s="1496"/>
      <c r="AO98" s="1496"/>
      <c r="AP98" s="1496"/>
      <c r="AQ98" s="1496"/>
      <c r="AR98" s="1496"/>
    </row>
    <row r="99" spans="2:44" s="1442" customFormat="1" ht="11.25" customHeight="1">
      <c r="B99" s="1501" t="str">
        <f t="shared" si="30"/>
        <v>0</v>
      </c>
      <c r="C99" s="1506" t="str">
        <f>IF('F-TIV'!D96&lt;&gt;"",'F-TIV'!D96,"")</f>
        <v/>
      </c>
      <c r="D99" s="1501" t="str">
        <f>IF('F-TIV'!C96&lt;&gt;"",'F-TIV'!C96,"")</f>
        <v/>
      </c>
      <c r="E99" s="1502" t="str">
        <f>IF('F-TIV'!Q96&lt;&gt;"",'F-TIV'!Q96,"")</f>
        <v/>
      </c>
      <c r="F99" s="1502" t="str">
        <f>IF('F-TIV'!R96&lt;&gt;"",'F-TIV'!R96,"")</f>
        <v/>
      </c>
      <c r="G99" s="1505" t="str">
        <f>IF('F-TIV'!S96&lt;&gt;"",'F-TIV'!S96,"")</f>
        <v/>
      </c>
      <c r="H99" s="1501" t="str">
        <f>IF('F-TIV'!F96&lt;&gt;"",'F-TIV'!F96,"")</f>
        <v/>
      </c>
      <c r="I99" s="1500" t="str">
        <f>IF(AND(C99&lt;&gt;"",C99&lt;&gt;"Vacant",C99&lt;&gt;"Manager"),IF('F-TIV'!H96&lt;&gt;"",'F-TIV'!H96,""),"")</f>
        <v/>
      </c>
      <c r="J99" s="1500" t="str">
        <f>IF(AND(C99&lt;&gt;"",C99&lt;&gt;"Vacant",C99&lt;&gt;"Manager"),IF('F-TIV'!J96&lt;&gt;0,'F-TIV'!J96,"$0"),"")</f>
        <v/>
      </c>
      <c r="K99" s="1500" t="str">
        <f t="shared" si="31"/>
        <v/>
      </c>
      <c r="L99" s="1504" t="str">
        <f t="shared" si="32"/>
        <v/>
      </c>
      <c r="M99" s="1504" t="str">
        <f t="shared" si="33"/>
        <v/>
      </c>
      <c r="N99" s="1504" t="str">
        <f t="shared" si="34"/>
        <v/>
      </c>
      <c r="O99" s="1504" t="str">
        <f t="shared" si="35"/>
        <v/>
      </c>
      <c r="P99" s="1504" t="str">
        <f t="shared" si="36"/>
        <v/>
      </c>
      <c r="Q99" s="1504" t="str">
        <f t="shared" si="37"/>
        <v/>
      </c>
      <c r="R99" s="1504" t="str">
        <f t="shared" si="38"/>
        <v/>
      </c>
      <c r="S99" s="1504" t="str">
        <f t="shared" si="39"/>
        <v/>
      </c>
      <c r="T99" s="1504" t="str">
        <f t="shared" si="40"/>
        <v/>
      </c>
      <c r="U99" s="1504" t="str">
        <f t="shared" si="41"/>
        <v/>
      </c>
      <c r="V99" s="1503" t="str">
        <f>IF(AND(C99&lt;&gt;"",C99&lt;&gt;"Vacant",C99&lt;&gt;"Manager"),'F-TIV'!O96,"")</f>
        <v/>
      </c>
      <c r="W99" s="1502" t="str">
        <f>IF(AND(C99&lt;&gt;"",C99&lt;&gt;"Vacant",C99&lt;&gt;"Manager"),'F-TIV'!P96,"")</f>
        <v/>
      </c>
      <c r="X99" s="1498" t="str">
        <f t="shared" si="42"/>
        <v/>
      </c>
      <c r="Y99" s="1501" t="str">
        <f>IF('F-TIV'!G96&lt;&gt;"",'F-TIV'!G96,"")</f>
        <v/>
      </c>
      <c r="Z99" s="1500" t="str">
        <f>IF(AND(C99&lt;&gt;"",C99&lt;&gt;"Vacant",C99&lt;&gt;"Manager"),'F-TIV'!L96,"")</f>
        <v/>
      </c>
      <c r="AA99" s="1499" t="str">
        <f t="shared" si="43"/>
        <v/>
      </c>
      <c r="AB99" s="1498" t="str">
        <f t="shared" si="44"/>
        <v/>
      </c>
      <c r="AC99" s="1426"/>
      <c r="AD99" s="1426"/>
      <c r="AE99" s="1426"/>
      <c r="AG99" s="1497"/>
      <c r="AL99" s="1496"/>
      <c r="AN99" s="1496"/>
      <c r="AO99" s="1496"/>
      <c r="AP99" s="1496"/>
      <c r="AQ99" s="1496"/>
      <c r="AR99" s="1496"/>
    </row>
    <row r="100" spans="2:44" s="1442" customFormat="1" ht="11.25" customHeight="1">
      <c r="B100" s="1501" t="str">
        <f t="shared" si="30"/>
        <v>0</v>
      </c>
      <c r="C100" s="1506" t="str">
        <f>IF('F-TIV'!D97&lt;&gt;"",'F-TIV'!D97,"")</f>
        <v/>
      </c>
      <c r="D100" s="1501" t="str">
        <f>IF('F-TIV'!C97&lt;&gt;"",'F-TIV'!C97,"")</f>
        <v/>
      </c>
      <c r="E100" s="1502" t="str">
        <f>IF('F-TIV'!Q97&lt;&gt;"",'F-TIV'!Q97,"")</f>
        <v/>
      </c>
      <c r="F100" s="1502" t="str">
        <f>IF('F-TIV'!R97&lt;&gt;"",'F-TIV'!R97,"")</f>
        <v/>
      </c>
      <c r="G100" s="1505" t="str">
        <f>IF('F-TIV'!S97&lt;&gt;"",'F-TIV'!S97,"")</f>
        <v/>
      </c>
      <c r="H100" s="1501" t="str">
        <f>IF('F-TIV'!F97&lt;&gt;"",'F-TIV'!F97,"")</f>
        <v/>
      </c>
      <c r="I100" s="1500" t="str">
        <f>IF(AND(C100&lt;&gt;"",C100&lt;&gt;"Vacant",C100&lt;&gt;"Manager"),IF('F-TIV'!H97&lt;&gt;"",'F-TIV'!H97,""),"")</f>
        <v/>
      </c>
      <c r="J100" s="1500" t="str">
        <f>IF(AND(C100&lt;&gt;"",C100&lt;&gt;"Vacant",C100&lt;&gt;"Manager"),IF('F-TIV'!J97&lt;&gt;0,'F-TIV'!J97,"$0"),"")</f>
        <v/>
      </c>
      <c r="K100" s="1500" t="str">
        <f t="shared" si="31"/>
        <v/>
      </c>
      <c r="L100" s="1504" t="str">
        <f t="shared" si="32"/>
        <v/>
      </c>
      <c r="M100" s="1504" t="str">
        <f t="shared" si="33"/>
        <v/>
      </c>
      <c r="N100" s="1504" t="str">
        <f t="shared" si="34"/>
        <v/>
      </c>
      <c r="O100" s="1504" t="str">
        <f t="shared" si="35"/>
        <v/>
      </c>
      <c r="P100" s="1504" t="str">
        <f t="shared" si="36"/>
        <v/>
      </c>
      <c r="Q100" s="1504" t="str">
        <f t="shared" si="37"/>
        <v/>
      </c>
      <c r="R100" s="1504" t="str">
        <f t="shared" si="38"/>
        <v/>
      </c>
      <c r="S100" s="1504" t="str">
        <f t="shared" si="39"/>
        <v/>
      </c>
      <c r="T100" s="1504" t="str">
        <f t="shared" si="40"/>
        <v/>
      </c>
      <c r="U100" s="1504" t="str">
        <f t="shared" si="41"/>
        <v/>
      </c>
      <c r="V100" s="1503" t="str">
        <f>IF(AND(C100&lt;&gt;"",C100&lt;&gt;"Vacant",C100&lt;&gt;"Manager"),'F-TIV'!O97,"")</f>
        <v/>
      </c>
      <c r="W100" s="1502" t="str">
        <f>IF(AND(C100&lt;&gt;"",C100&lt;&gt;"Vacant",C100&lt;&gt;"Manager"),'F-TIV'!P97,"")</f>
        <v/>
      </c>
      <c r="X100" s="1498" t="str">
        <f t="shared" si="42"/>
        <v/>
      </c>
      <c r="Y100" s="1501" t="str">
        <f>IF('F-TIV'!G97&lt;&gt;"",'F-TIV'!G97,"")</f>
        <v/>
      </c>
      <c r="Z100" s="1500" t="str">
        <f>IF(AND(C100&lt;&gt;"",C100&lt;&gt;"Vacant",C100&lt;&gt;"Manager"),'F-TIV'!L97,"")</f>
        <v/>
      </c>
      <c r="AA100" s="1499" t="str">
        <f t="shared" si="43"/>
        <v/>
      </c>
      <c r="AB100" s="1498" t="str">
        <f t="shared" si="44"/>
        <v/>
      </c>
      <c r="AC100" s="1426"/>
      <c r="AD100" s="1426"/>
      <c r="AE100" s="1426"/>
      <c r="AG100" s="1497"/>
      <c r="AL100" s="1496"/>
      <c r="AN100" s="1496"/>
      <c r="AO100" s="1496"/>
      <c r="AP100" s="1496"/>
      <c r="AQ100" s="1496"/>
      <c r="AR100" s="1496"/>
    </row>
    <row r="101" spans="2:44" s="1442" customFormat="1" ht="11.25" customHeight="1">
      <c r="B101" s="1501" t="str">
        <f t="shared" si="30"/>
        <v>0</v>
      </c>
      <c r="C101" s="1506" t="str">
        <f>IF('F-TIV'!D98&lt;&gt;"",'F-TIV'!D98,"")</f>
        <v/>
      </c>
      <c r="D101" s="1501" t="str">
        <f>IF('F-TIV'!C98&lt;&gt;"",'F-TIV'!C98,"")</f>
        <v/>
      </c>
      <c r="E101" s="1502" t="str">
        <f>IF('F-TIV'!Q98&lt;&gt;"",'F-TIV'!Q98,"")</f>
        <v/>
      </c>
      <c r="F101" s="1502" t="str">
        <f>IF('F-TIV'!R98&lt;&gt;"",'F-TIV'!R98,"")</f>
        <v/>
      </c>
      <c r="G101" s="1505" t="str">
        <f>IF('F-TIV'!S98&lt;&gt;"",'F-TIV'!S98,"")</f>
        <v/>
      </c>
      <c r="H101" s="1501" t="str">
        <f>IF('F-TIV'!F98&lt;&gt;"",'F-TIV'!F98,"")</f>
        <v/>
      </c>
      <c r="I101" s="1500" t="str">
        <f>IF(AND(C101&lt;&gt;"",C101&lt;&gt;"Vacant",C101&lt;&gt;"Manager"),IF('F-TIV'!H98&lt;&gt;"",'F-TIV'!H98,""),"")</f>
        <v/>
      </c>
      <c r="J101" s="1500" t="str">
        <f>IF(AND(C101&lt;&gt;"",C101&lt;&gt;"Vacant",C101&lt;&gt;"Manager"),IF('F-TIV'!J98&lt;&gt;0,'F-TIV'!J98,"$0"),"")</f>
        <v/>
      </c>
      <c r="K101" s="1500" t="str">
        <f t="shared" si="31"/>
        <v/>
      </c>
      <c r="L101" s="1504" t="str">
        <f t="shared" si="32"/>
        <v/>
      </c>
      <c r="M101" s="1504" t="str">
        <f t="shared" si="33"/>
        <v/>
      </c>
      <c r="N101" s="1504" t="str">
        <f t="shared" si="34"/>
        <v/>
      </c>
      <c r="O101" s="1504" t="str">
        <f t="shared" si="35"/>
        <v/>
      </c>
      <c r="P101" s="1504" t="str">
        <f t="shared" si="36"/>
        <v/>
      </c>
      <c r="Q101" s="1504" t="str">
        <f t="shared" si="37"/>
        <v/>
      </c>
      <c r="R101" s="1504" t="str">
        <f t="shared" si="38"/>
        <v/>
      </c>
      <c r="S101" s="1504" t="str">
        <f t="shared" si="39"/>
        <v/>
      </c>
      <c r="T101" s="1504" t="str">
        <f t="shared" si="40"/>
        <v/>
      </c>
      <c r="U101" s="1504" t="str">
        <f t="shared" si="41"/>
        <v/>
      </c>
      <c r="V101" s="1503" t="str">
        <f>IF(AND(C101&lt;&gt;"",C101&lt;&gt;"Vacant",C101&lt;&gt;"Manager"),'F-TIV'!O98,"")</f>
        <v/>
      </c>
      <c r="W101" s="1502" t="str">
        <f>IF(AND(C101&lt;&gt;"",C101&lt;&gt;"Vacant",C101&lt;&gt;"Manager"),'F-TIV'!P98,"")</f>
        <v/>
      </c>
      <c r="X101" s="1498" t="str">
        <f t="shared" si="42"/>
        <v/>
      </c>
      <c r="Y101" s="1501" t="str">
        <f>IF('F-TIV'!G98&lt;&gt;"",'F-TIV'!G98,"")</f>
        <v/>
      </c>
      <c r="Z101" s="1500" t="str">
        <f>IF(AND(C101&lt;&gt;"",C101&lt;&gt;"Vacant",C101&lt;&gt;"Manager"),'F-TIV'!L98,"")</f>
        <v/>
      </c>
      <c r="AA101" s="1499" t="str">
        <f t="shared" si="43"/>
        <v/>
      </c>
      <c r="AB101" s="1498" t="str">
        <f t="shared" si="44"/>
        <v/>
      </c>
      <c r="AC101" s="1426"/>
      <c r="AD101" s="1426"/>
      <c r="AE101" s="1426"/>
      <c r="AG101" s="1497"/>
      <c r="AL101" s="1496"/>
      <c r="AN101" s="1496"/>
      <c r="AO101" s="1496"/>
      <c r="AP101" s="1496"/>
      <c r="AQ101" s="1496"/>
      <c r="AR101" s="1496"/>
    </row>
    <row r="102" spans="2:44" s="1442" customFormat="1" ht="11.25" customHeight="1">
      <c r="B102" s="1501" t="str">
        <f t="shared" si="30"/>
        <v>0</v>
      </c>
      <c r="C102" s="1506" t="str">
        <f>IF('F-TIV'!D99&lt;&gt;"",'F-TIV'!D99,"")</f>
        <v/>
      </c>
      <c r="D102" s="1501" t="str">
        <f>IF('F-TIV'!C99&lt;&gt;"",'F-TIV'!C99,"")</f>
        <v/>
      </c>
      <c r="E102" s="1502" t="str">
        <f>IF('F-TIV'!Q99&lt;&gt;"",'F-TIV'!Q99,"")</f>
        <v/>
      </c>
      <c r="F102" s="1502" t="str">
        <f>IF('F-TIV'!R99&lt;&gt;"",'F-TIV'!R99,"")</f>
        <v/>
      </c>
      <c r="G102" s="1505" t="str">
        <f>IF('F-TIV'!S99&lt;&gt;"",'F-TIV'!S99,"")</f>
        <v/>
      </c>
      <c r="H102" s="1501" t="str">
        <f>IF('F-TIV'!F99&lt;&gt;"",'F-TIV'!F99,"")</f>
        <v/>
      </c>
      <c r="I102" s="1500" t="str">
        <f>IF(AND(C102&lt;&gt;"",C102&lt;&gt;"Vacant",C102&lt;&gt;"Manager"),IF('F-TIV'!H99&lt;&gt;"",'F-TIV'!H99,""),"")</f>
        <v/>
      </c>
      <c r="J102" s="1500" t="str">
        <f>IF(AND(C102&lt;&gt;"",C102&lt;&gt;"Vacant",C102&lt;&gt;"Manager"),IF('F-TIV'!J99&lt;&gt;0,'F-TIV'!J99,"$0"),"")</f>
        <v/>
      </c>
      <c r="K102" s="1500" t="str">
        <f t="shared" si="31"/>
        <v/>
      </c>
      <c r="L102" s="1504" t="str">
        <f t="shared" si="32"/>
        <v/>
      </c>
      <c r="M102" s="1504" t="str">
        <f t="shared" si="33"/>
        <v/>
      </c>
      <c r="N102" s="1504" t="str">
        <f t="shared" si="34"/>
        <v/>
      </c>
      <c r="O102" s="1504" t="str">
        <f t="shared" si="35"/>
        <v/>
      </c>
      <c r="P102" s="1504" t="str">
        <f t="shared" si="36"/>
        <v/>
      </c>
      <c r="Q102" s="1504" t="str">
        <f t="shared" si="37"/>
        <v/>
      </c>
      <c r="R102" s="1504" t="str">
        <f t="shared" si="38"/>
        <v/>
      </c>
      <c r="S102" s="1504" t="str">
        <f t="shared" si="39"/>
        <v/>
      </c>
      <c r="T102" s="1504" t="str">
        <f t="shared" si="40"/>
        <v/>
      </c>
      <c r="U102" s="1504" t="str">
        <f t="shared" si="41"/>
        <v/>
      </c>
      <c r="V102" s="1503" t="str">
        <f>IF(AND(C102&lt;&gt;"",C102&lt;&gt;"Vacant",C102&lt;&gt;"Manager"),'F-TIV'!O99,"")</f>
        <v/>
      </c>
      <c r="W102" s="1502" t="str">
        <f>IF(AND(C102&lt;&gt;"",C102&lt;&gt;"Vacant",C102&lt;&gt;"Manager"),'F-TIV'!P99,"")</f>
        <v/>
      </c>
      <c r="X102" s="1498" t="str">
        <f t="shared" si="42"/>
        <v/>
      </c>
      <c r="Y102" s="1501" t="str">
        <f>IF('F-TIV'!G99&lt;&gt;"",'F-TIV'!G99,"")</f>
        <v/>
      </c>
      <c r="Z102" s="1500" t="str">
        <f>IF(AND(C102&lt;&gt;"",C102&lt;&gt;"Vacant",C102&lt;&gt;"Manager"),'F-TIV'!L99,"")</f>
        <v/>
      </c>
      <c r="AA102" s="1499" t="str">
        <f t="shared" si="43"/>
        <v/>
      </c>
      <c r="AB102" s="1498" t="str">
        <f t="shared" si="44"/>
        <v/>
      </c>
      <c r="AC102" s="1426"/>
      <c r="AD102" s="1426"/>
      <c r="AE102" s="1426"/>
      <c r="AG102" s="1497"/>
      <c r="AL102" s="1496"/>
      <c r="AN102" s="1496"/>
      <c r="AO102" s="1496"/>
      <c r="AP102" s="1496"/>
      <c r="AQ102" s="1496"/>
      <c r="AR102" s="1496"/>
    </row>
    <row r="103" spans="2:44" s="1442" customFormat="1" ht="11.25" customHeight="1">
      <c r="B103" s="1501" t="str">
        <f t="shared" si="30"/>
        <v>0</v>
      </c>
      <c r="C103" s="1506" t="str">
        <f>IF('F-TIV'!D100&lt;&gt;"",'F-TIV'!D100,"")</f>
        <v/>
      </c>
      <c r="D103" s="1501" t="str">
        <f>IF('F-TIV'!C100&lt;&gt;"",'F-TIV'!C100,"")</f>
        <v/>
      </c>
      <c r="E103" s="1502" t="str">
        <f>IF('F-TIV'!Q100&lt;&gt;"",'F-TIV'!Q100,"")</f>
        <v/>
      </c>
      <c r="F103" s="1502" t="str">
        <f>IF('F-TIV'!R100&lt;&gt;"",'F-TIV'!R100,"")</f>
        <v/>
      </c>
      <c r="G103" s="1505" t="str">
        <f>IF('F-TIV'!S100&lt;&gt;"",'F-TIV'!S100,"")</f>
        <v/>
      </c>
      <c r="H103" s="1501" t="str">
        <f>IF('F-TIV'!F100&lt;&gt;"",'F-TIV'!F100,"")</f>
        <v/>
      </c>
      <c r="I103" s="1500" t="str">
        <f>IF(AND(C103&lt;&gt;"",C103&lt;&gt;"Vacant",C103&lt;&gt;"Manager"),IF('F-TIV'!H100&lt;&gt;"",'F-TIV'!H100,""),"")</f>
        <v/>
      </c>
      <c r="J103" s="1500" t="str">
        <f>IF(AND(C103&lt;&gt;"",C103&lt;&gt;"Vacant",C103&lt;&gt;"Manager"),IF('F-TIV'!J100&lt;&gt;0,'F-TIV'!J100,"$0"),"")</f>
        <v/>
      </c>
      <c r="K103" s="1500" t="str">
        <f t="shared" si="31"/>
        <v/>
      </c>
      <c r="L103" s="1504" t="str">
        <f t="shared" si="32"/>
        <v/>
      </c>
      <c r="M103" s="1504" t="str">
        <f t="shared" si="33"/>
        <v/>
      </c>
      <c r="N103" s="1504" t="str">
        <f t="shared" si="34"/>
        <v/>
      </c>
      <c r="O103" s="1504" t="str">
        <f t="shared" si="35"/>
        <v/>
      </c>
      <c r="P103" s="1504" t="str">
        <f t="shared" si="36"/>
        <v/>
      </c>
      <c r="Q103" s="1504" t="str">
        <f t="shared" si="37"/>
        <v/>
      </c>
      <c r="R103" s="1504" t="str">
        <f t="shared" si="38"/>
        <v/>
      </c>
      <c r="S103" s="1504" t="str">
        <f t="shared" si="39"/>
        <v/>
      </c>
      <c r="T103" s="1504" t="str">
        <f t="shared" si="40"/>
        <v/>
      </c>
      <c r="U103" s="1504" t="str">
        <f t="shared" si="41"/>
        <v/>
      </c>
      <c r="V103" s="1503" t="str">
        <f>IF(AND(C103&lt;&gt;"",C103&lt;&gt;"Vacant",C103&lt;&gt;"Manager"),'F-TIV'!O100,"")</f>
        <v/>
      </c>
      <c r="W103" s="1502" t="str">
        <f>IF(AND(C103&lt;&gt;"",C103&lt;&gt;"Vacant",C103&lt;&gt;"Manager"),'F-TIV'!P100,"")</f>
        <v/>
      </c>
      <c r="X103" s="1498" t="str">
        <f t="shared" si="42"/>
        <v/>
      </c>
      <c r="Y103" s="1501" t="str">
        <f>IF('F-TIV'!G100&lt;&gt;"",'F-TIV'!G100,"")</f>
        <v/>
      </c>
      <c r="Z103" s="1500" t="str">
        <f>IF(AND(C103&lt;&gt;"",C103&lt;&gt;"Vacant",C103&lt;&gt;"Manager"),'F-TIV'!L100,"")</f>
        <v/>
      </c>
      <c r="AA103" s="1499" t="str">
        <f t="shared" si="43"/>
        <v/>
      </c>
      <c r="AB103" s="1498" t="str">
        <f t="shared" si="44"/>
        <v/>
      </c>
      <c r="AC103" s="1426"/>
      <c r="AD103" s="1426"/>
      <c r="AE103" s="1426"/>
      <c r="AG103" s="1497"/>
      <c r="AL103" s="1496"/>
      <c r="AN103" s="1496"/>
      <c r="AO103" s="1496"/>
      <c r="AP103" s="1496"/>
      <c r="AQ103" s="1496"/>
      <c r="AR103" s="1496"/>
    </row>
    <row r="104" spans="2:44" s="1442" customFormat="1" ht="11.25" customHeight="1">
      <c r="B104" s="1501" t="str">
        <f t="shared" si="30"/>
        <v>0</v>
      </c>
      <c r="C104" s="1506" t="str">
        <f>IF('F-TIV'!D101&lt;&gt;"",'F-TIV'!D101,"")</f>
        <v/>
      </c>
      <c r="D104" s="1501" t="str">
        <f>IF('F-TIV'!C101&lt;&gt;"",'F-TIV'!C101,"")</f>
        <v/>
      </c>
      <c r="E104" s="1502" t="str">
        <f>IF('F-TIV'!Q101&lt;&gt;"",'F-TIV'!Q101,"")</f>
        <v/>
      </c>
      <c r="F104" s="1502" t="str">
        <f>IF('F-TIV'!R101&lt;&gt;"",'F-TIV'!R101,"")</f>
        <v/>
      </c>
      <c r="G104" s="1505" t="str">
        <f>IF('F-TIV'!S101&lt;&gt;"",'F-TIV'!S101,"")</f>
        <v/>
      </c>
      <c r="H104" s="1501" t="str">
        <f>IF('F-TIV'!F101&lt;&gt;"",'F-TIV'!F101,"")</f>
        <v/>
      </c>
      <c r="I104" s="1500" t="str">
        <f>IF(AND(C104&lt;&gt;"",C104&lt;&gt;"Vacant",C104&lt;&gt;"Manager"),IF('F-TIV'!H101&lt;&gt;"",'F-TIV'!H101,""),"")</f>
        <v/>
      </c>
      <c r="J104" s="1500" t="str">
        <f>IF(AND(C104&lt;&gt;"",C104&lt;&gt;"Vacant",C104&lt;&gt;"Manager"),IF('F-TIV'!J101&lt;&gt;0,'F-TIV'!J101,"$0"),"")</f>
        <v/>
      </c>
      <c r="K104" s="1500" t="str">
        <f t="shared" si="31"/>
        <v/>
      </c>
      <c r="L104" s="1504" t="str">
        <f t="shared" si="32"/>
        <v/>
      </c>
      <c r="M104" s="1504" t="str">
        <f t="shared" si="33"/>
        <v/>
      </c>
      <c r="N104" s="1504" t="str">
        <f t="shared" si="34"/>
        <v/>
      </c>
      <c r="O104" s="1504" t="str">
        <f t="shared" si="35"/>
        <v/>
      </c>
      <c r="P104" s="1504" t="str">
        <f t="shared" si="36"/>
        <v/>
      </c>
      <c r="Q104" s="1504" t="str">
        <f t="shared" si="37"/>
        <v/>
      </c>
      <c r="R104" s="1504" t="str">
        <f t="shared" si="38"/>
        <v/>
      </c>
      <c r="S104" s="1504" t="str">
        <f t="shared" si="39"/>
        <v/>
      </c>
      <c r="T104" s="1504" t="str">
        <f t="shared" si="40"/>
        <v/>
      </c>
      <c r="U104" s="1504" t="str">
        <f t="shared" si="41"/>
        <v/>
      </c>
      <c r="V104" s="1503" t="str">
        <f>IF(AND(C104&lt;&gt;"",C104&lt;&gt;"Vacant",C104&lt;&gt;"Manager"),'F-TIV'!O101,"")</f>
        <v/>
      </c>
      <c r="W104" s="1502" t="str">
        <f>IF(AND(C104&lt;&gt;"",C104&lt;&gt;"Vacant",C104&lt;&gt;"Manager"),'F-TIV'!P101,"")</f>
        <v/>
      </c>
      <c r="X104" s="1498" t="str">
        <f t="shared" si="42"/>
        <v/>
      </c>
      <c r="Y104" s="1501" t="str">
        <f>IF('F-TIV'!G101&lt;&gt;"",'F-TIV'!G101,"")</f>
        <v/>
      </c>
      <c r="Z104" s="1500" t="str">
        <f>IF(AND(C104&lt;&gt;"",C104&lt;&gt;"Vacant",C104&lt;&gt;"Manager"),'F-TIV'!L101,"")</f>
        <v/>
      </c>
      <c r="AA104" s="1499" t="str">
        <f t="shared" si="43"/>
        <v/>
      </c>
      <c r="AB104" s="1498" t="str">
        <f t="shared" si="44"/>
        <v/>
      </c>
      <c r="AC104" s="1426"/>
      <c r="AD104" s="1426"/>
      <c r="AE104" s="1426"/>
      <c r="AG104" s="1497"/>
      <c r="AL104" s="1496"/>
      <c r="AN104" s="1496"/>
      <c r="AO104" s="1496"/>
      <c r="AP104" s="1496"/>
      <c r="AQ104" s="1496"/>
      <c r="AR104" s="1496"/>
    </row>
    <row r="105" spans="2:44" s="1442" customFormat="1" ht="11.25" customHeight="1">
      <c r="B105" s="1501" t="str">
        <f t="shared" si="30"/>
        <v>0</v>
      </c>
      <c r="C105" s="1506" t="str">
        <f>IF('F-TIV'!D102&lt;&gt;"",'F-TIV'!D102,"")</f>
        <v/>
      </c>
      <c r="D105" s="1501" t="str">
        <f>IF('F-TIV'!C102&lt;&gt;"",'F-TIV'!C102,"")</f>
        <v/>
      </c>
      <c r="E105" s="1502" t="str">
        <f>IF('F-TIV'!Q102&lt;&gt;"",'F-TIV'!Q102,"")</f>
        <v/>
      </c>
      <c r="F105" s="1502" t="str">
        <f>IF('F-TIV'!R102&lt;&gt;"",'F-TIV'!R102,"")</f>
        <v/>
      </c>
      <c r="G105" s="1505" t="str">
        <f>IF('F-TIV'!S102&lt;&gt;"",'F-TIV'!S102,"")</f>
        <v/>
      </c>
      <c r="H105" s="1501" t="str">
        <f>IF('F-TIV'!F102&lt;&gt;"",'F-TIV'!F102,"")</f>
        <v/>
      </c>
      <c r="I105" s="1500" t="str">
        <f>IF(AND(C105&lt;&gt;"",C105&lt;&gt;"Vacant",C105&lt;&gt;"Manager"),IF('F-TIV'!H102&lt;&gt;"",'F-TIV'!H102,""),"")</f>
        <v/>
      </c>
      <c r="J105" s="1500" t="str">
        <f>IF(AND(C105&lt;&gt;"",C105&lt;&gt;"Vacant",C105&lt;&gt;"Manager"),IF('F-TIV'!J102&lt;&gt;0,'F-TIV'!J102,"$0"),"")</f>
        <v/>
      </c>
      <c r="K105" s="1500" t="str">
        <f t="shared" si="31"/>
        <v/>
      </c>
      <c r="L105" s="1504" t="str">
        <f t="shared" si="32"/>
        <v/>
      </c>
      <c r="M105" s="1504" t="str">
        <f t="shared" si="33"/>
        <v/>
      </c>
      <c r="N105" s="1504" t="str">
        <f t="shared" si="34"/>
        <v/>
      </c>
      <c r="O105" s="1504" t="str">
        <f t="shared" si="35"/>
        <v/>
      </c>
      <c r="P105" s="1504" t="str">
        <f t="shared" si="36"/>
        <v/>
      </c>
      <c r="Q105" s="1504" t="str">
        <f t="shared" si="37"/>
        <v/>
      </c>
      <c r="R105" s="1504" t="str">
        <f t="shared" si="38"/>
        <v/>
      </c>
      <c r="S105" s="1504" t="str">
        <f t="shared" si="39"/>
        <v/>
      </c>
      <c r="T105" s="1504" t="str">
        <f t="shared" si="40"/>
        <v/>
      </c>
      <c r="U105" s="1504" t="str">
        <f t="shared" si="41"/>
        <v/>
      </c>
      <c r="V105" s="1503" t="str">
        <f>IF(AND(C105&lt;&gt;"",C105&lt;&gt;"Vacant",C105&lt;&gt;"Manager"),'F-TIV'!O102,"")</f>
        <v/>
      </c>
      <c r="W105" s="1502" t="str">
        <f>IF(AND(C105&lt;&gt;"",C105&lt;&gt;"Vacant",C105&lt;&gt;"Manager"),'F-TIV'!P102,"")</f>
        <v/>
      </c>
      <c r="X105" s="1498" t="str">
        <f t="shared" si="42"/>
        <v/>
      </c>
      <c r="Y105" s="1501" t="str">
        <f>IF('F-TIV'!G102&lt;&gt;"",'F-TIV'!G102,"")</f>
        <v/>
      </c>
      <c r="Z105" s="1500" t="str">
        <f>IF(AND(C105&lt;&gt;"",C105&lt;&gt;"Vacant",C105&lt;&gt;"Manager"),'F-TIV'!L102,"")</f>
        <v/>
      </c>
      <c r="AA105" s="1499" t="str">
        <f t="shared" si="43"/>
        <v/>
      </c>
      <c r="AB105" s="1498" t="str">
        <f t="shared" si="44"/>
        <v/>
      </c>
      <c r="AC105" s="1426"/>
      <c r="AD105" s="1426"/>
      <c r="AE105" s="1426"/>
      <c r="AG105" s="1497"/>
      <c r="AL105" s="1496"/>
      <c r="AN105" s="1496"/>
      <c r="AO105" s="1496"/>
      <c r="AP105" s="1496"/>
      <c r="AQ105" s="1496"/>
      <c r="AR105" s="1496"/>
    </row>
    <row r="106" spans="2:44" s="1442" customFormat="1" ht="11.25" customHeight="1">
      <c r="B106" s="1501" t="str">
        <f t="shared" si="30"/>
        <v>0</v>
      </c>
      <c r="C106" s="1506" t="str">
        <f>IF('F-TIV'!D103&lt;&gt;"",'F-TIV'!D103,"")</f>
        <v/>
      </c>
      <c r="D106" s="1501" t="str">
        <f>IF('F-TIV'!C103&lt;&gt;"",'F-TIV'!C103,"")</f>
        <v/>
      </c>
      <c r="E106" s="1502" t="str">
        <f>IF('F-TIV'!Q103&lt;&gt;"",'F-TIV'!Q103,"")</f>
        <v/>
      </c>
      <c r="F106" s="1502" t="str">
        <f>IF('F-TIV'!R103&lt;&gt;"",'F-TIV'!R103,"")</f>
        <v/>
      </c>
      <c r="G106" s="1505" t="str">
        <f>IF('F-TIV'!S103&lt;&gt;"",'F-TIV'!S103,"")</f>
        <v/>
      </c>
      <c r="H106" s="1501" t="str">
        <f>IF('F-TIV'!F103&lt;&gt;"",'F-TIV'!F103,"")</f>
        <v/>
      </c>
      <c r="I106" s="1500" t="str">
        <f>IF(AND(C106&lt;&gt;"",C106&lt;&gt;"Vacant",C106&lt;&gt;"Manager"),IF('F-TIV'!H103&lt;&gt;"",'F-TIV'!H103,""),"")</f>
        <v/>
      </c>
      <c r="J106" s="1500" t="str">
        <f>IF(AND(C106&lt;&gt;"",C106&lt;&gt;"Vacant",C106&lt;&gt;"Manager"),IF('F-TIV'!J103&lt;&gt;0,'F-TIV'!J103,"$0"),"")</f>
        <v/>
      </c>
      <c r="K106" s="1500" t="str">
        <f t="shared" si="31"/>
        <v/>
      </c>
      <c r="L106" s="1504" t="str">
        <f t="shared" si="32"/>
        <v/>
      </c>
      <c r="M106" s="1504" t="str">
        <f t="shared" si="33"/>
        <v/>
      </c>
      <c r="N106" s="1504" t="str">
        <f t="shared" si="34"/>
        <v/>
      </c>
      <c r="O106" s="1504" t="str">
        <f t="shared" si="35"/>
        <v/>
      </c>
      <c r="P106" s="1504" t="str">
        <f t="shared" si="36"/>
        <v/>
      </c>
      <c r="Q106" s="1504" t="str">
        <f t="shared" si="37"/>
        <v/>
      </c>
      <c r="R106" s="1504" t="str">
        <f t="shared" si="38"/>
        <v/>
      </c>
      <c r="S106" s="1504" t="str">
        <f t="shared" si="39"/>
        <v/>
      </c>
      <c r="T106" s="1504" t="str">
        <f t="shared" si="40"/>
        <v/>
      </c>
      <c r="U106" s="1504" t="str">
        <f t="shared" si="41"/>
        <v/>
      </c>
      <c r="V106" s="1503" t="str">
        <f>IF(AND(C106&lt;&gt;"",C106&lt;&gt;"Vacant",C106&lt;&gt;"Manager"),'F-TIV'!O103,"")</f>
        <v/>
      </c>
      <c r="W106" s="1502" t="str">
        <f>IF(AND(C106&lt;&gt;"",C106&lt;&gt;"Vacant",C106&lt;&gt;"Manager"),'F-TIV'!P103,"")</f>
        <v/>
      </c>
      <c r="X106" s="1498" t="str">
        <f t="shared" si="42"/>
        <v/>
      </c>
      <c r="Y106" s="1501" t="str">
        <f>IF('F-TIV'!G103&lt;&gt;"",'F-TIV'!G103,"")</f>
        <v/>
      </c>
      <c r="Z106" s="1500" t="str">
        <f>IF(AND(C106&lt;&gt;"",C106&lt;&gt;"Vacant",C106&lt;&gt;"Manager"),'F-TIV'!L103,"")</f>
        <v/>
      </c>
      <c r="AA106" s="1499" t="str">
        <f t="shared" si="43"/>
        <v/>
      </c>
      <c r="AB106" s="1498" t="str">
        <f t="shared" si="44"/>
        <v/>
      </c>
      <c r="AC106" s="1426"/>
      <c r="AD106" s="1426"/>
      <c r="AE106" s="1426"/>
      <c r="AG106" s="1497"/>
      <c r="AL106" s="1496"/>
      <c r="AN106" s="1496"/>
      <c r="AO106" s="1496"/>
      <c r="AP106" s="1496"/>
      <c r="AQ106" s="1496"/>
      <c r="AR106" s="1496"/>
    </row>
    <row r="107" spans="2:44" s="1442" customFormat="1" ht="11.25" customHeight="1">
      <c r="B107" s="1501" t="str">
        <f t="shared" si="30"/>
        <v>0</v>
      </c>
      <c r="C107" s="1506" t="str">
        <f>IF('F-TIV'!D104&lt;&gt;"",'F-TIV'!D104,"")</f>
        <v/>
      </c>
      <c r="D107" s="1501" t="str">
        <f>IF('F-TIV'!C104&lt;&gt;"",'F-TIV'!C104,"")</f>
        <v/>
      </c>
      <c r="E107" s="1502" t="str">
        <f>IF('F-TIV'!Q104&lt;&gt;"",'F-TIV'!Q104,"")</f>
        <v/>
      </c>
      <c r="F107" s="1502" t="str">
        <f>IF('F-TIV'!R104&lt;&gt;"",'F-TIV'!R104,"")</f>
        <v/>
      </c>
      <c r="G107" s="1505" t="str">
        <f>IF('F-TIV'!S104&lt;&gt;"",'F-TIV'!S104,"")</f>
        <v/>
      </c>
      <c r="H107" s="1501" t="str">
        <f>IF('F-TIV'!F104&lt;&gt;"",'F-TIV'!F104,"")</f>
        <v/>
      </c>
      <c r="I107" s="1500" t="str">
        <f>IF(AND(C107&lt;&gt;"",C107&lt;&gt;"Vacant",C107&lt;&gt;"Manager"),IF('F-TIV'!H104&lt;&gt;"",'F-TIV'!H104,""),"")</f>
        <v/>
      </c>
      <c r="J107" s="1500" t="str">
        <f>IF(AND(C107&lt;&gt;"",C107&lt;&gt;"Vacant",C107&lt;&gt;"Manager"),IF('F-TIV'!J104&lt;&gt;0,'F-TIV'!J104,"$0"),"")</f>
        <v/>
      </c>
      <c r="K107" s="1500" t="str">
        <f t="shared" si="31"/>
        <v/>
      </c>
      <c r="L107" s="1504" t="str">
        <f t="shared" si="32"/>
        <v/>
      </c>
      <c r="M107" s="1504" t="str">
        <f t="shared" si="33"/>
        <v/>
      </c>
      <c r="N107" s="1504" t="str">
        <f t="shared" si="34"/>
        <v/>
      </c>
      <c r="O107" s="1504" t="str">
        <f t="shared" si="35"/>
        <v/>
      </c>
      <c r="P107" s="1504" t="str">
        <f t="shared" si="36"/>
        <v/>
      </c>
      <c r="Q107" s="1504" t="str">
        <f t="shared" si="37"/>
        <v/>
      </c>
      <c r="R107" s="1504" t="str">
        <f t="shared" si="38"/>
        <v/>
      </c>
      <c r="S107" s="1504" t="str">
        <f t="shared" si="39"/>
        <v/>
      </c>
      <c r="T107" s="1504" t="str">
        <f t="shared" si="40"/>
        <v/>
      </c>
      <c r="U107" s="1504" t="str">
        <f t="shared" si="41"/>
        <v/>
      </c>
      <c r="V107" s="1503" t="str">
        <f>IF(AND(C107&lt;&gt;"",C107&lt;&gt;"Vacant",C107&lt;&gt;"Manager"),'F-TIV'!O104,"")</f>
        <v/>
      </c>
      <c r="W107" s="1502" t="str">
        <f>IF(AND(C107&lt;&gt;"",C107&lt;&gt;"Vacant",C107&lt;&gt;"Manager"),'F-TIV'!P104,"")</f>
        <v/>
      </c>
      <c r="X107" s="1498" t="str">
        <f t="shared" si="42"/>
        <v/>
      </c>
      <c r="Y107" s="1501" t="str">
        <f>IF('F-TIV'!G104&lt;&gt;"",'F-TIV'!G104,"")</f>
        <v/>
      </c>
      <c r="Z107" s="1500" t="str">
        <f>IF(AND(C107&lt;&gt;"",C107&lt;&gt;"Vacant",C107&lt;&gt;"Manager"),'F-TIV'!L104,"")</f>
        <v/>
      </c>
      <c r="AA107" s="1499" t="str">
        <f t="shared" si="43"/>
        <v/>
      </c>
      <c r="AB107" s="1498" t="str">
        <f t="shared" si="44"/>
        <v/>
      </c>
      <c r="AC107" s="1426"/>
      <c r="AD107" s="1426"/>
      <c r="AE107" s="1426"/>
      <c r="AG107" s="1497"/>
      <c r="AL107" s="1496"/>
      <c r="AN107" s="1496"/>
      <c r="AO107" s="1496"/>
      <c r="AP107" s="1496"/>
      <c r="AQ107" s="1496"/>
      <c r="AR107" s="1496"/>
    </row>
    <row r="108" spans="2:44" s="1442" customFormat="1" ht="11.25" customHeight="1">
      <c r="B108" s="1501" t="str">
        <f t="shared" si="30"/>
        <v>0</v>
      </c>
      <c r="C108" s="1506" t="str">
        <f>IF('F-TIV'!D105&lt;&gt;"",'F-TIV'!D105,"")</f>
        <v/>
      </c>
      <c r="D108" s="1501" t="str">
        <f>IF('F-TIV'!C105&lt;&gt;"",'F-TIV'!C105,"")</f>
        <v/>
      </c>
      <c r="E108" s="1502" t="str">
        <f>IF('F-TIV'!Q105&lt;&gt;"",'F-TIV'!Q105,"")</f>
        <v/>
      </c>
      <c r="F108" s="1502" t="str">
        <f>IF('F-TIV'!R105&lt;&gt;"",'F-TIV'!R105,"")</f>
        <v/>
      </c>
      <c r="G108" s="1505" t="str">
        <f>IF('F-TIV'!S105&lt;&gt;"",'F-TIV'!S105,"")</f>
        <v/>
      </c>
      <c r="H108" s="1501" t="str">
        <f>IF('F-TIV'!F105&lt;&gt;"",'F-TIV'!F105,"")</f>
        <v/>
      </c>
      <c r="I108" s="1500" t="str">
        <f>IF(AND(C108&lt;&gt;"",C108&lt;&gt;"Vacant",C108&lt;&gt;"Manager"),IF('F-TIV'!H105&lt;&gt;"",'F-TIV'!H105,""),"")</f>
        <v/>
      </c>
      <c r="J108" s="1500" t="str">
        <f>IF(AND(C108&lt;&gt;"",C108&lt;&gt;"Vacant",C108&lt;&gt;"Manager"),IF('F-TIV'!J105&lt;&gt;0,'F-TIV'!J105,"$0"),"")</f>
        <v/>
      </c>
      <c r="K108" s="1500" t="str">
        <f t="shared" si="31"/>
        <v/>
      </c>
      <c r="L108" s="1504" t="str">
        <f t="shared" si="32"/>
        <v/>
      </c>
      <c r="M108" s="1504" t="str">
        <f t="shared" si="33"/>
        <v/>
      </c>
      <c r="N108" s="1504" t="str">
        <f t="shared" si="34"/>
        <v/>
      </c>
      <c r="O108" s="1504" t="str">
        <f t="shared" si="35"/>
        <v/>
      </c>
      <c r="P108" s="1504" t="str">
        <f t="shared" si="36"/>
        <v/>
      </c>
      <c r="Q108" s="1504" t="str">
        <f t="shared" si="37"/>
        <v/>
      </c>
      <c r="R108" s="1504" t="str">
        <f t="shared" si="38"/>
        <v/>
      </c>
      <c r="S108" s="1504" t="str">
        <f t="shared" si="39"/>
        <v/>
      </c>
      <c r="T108" s="1504" t="str">
        <f t="shared" si="40"/>
        <v/>
      </c>
      <c r="U108" s="1504" t="str">
        <f t="shared" si="41"/>
        <v/>
      </c>
      <c r="V108" s="1503" t="str">
        <f>IF(AND(C108&lt;&gt;"",C108&lt;&gt;"Vacant",C108&lt;&gt;"Manager"),'F-TIV'!O105,"")</f>
        <v/>
      </c>
      <c r="W108" s="1502" t="str">
        <f>IF(AND(C108&lt;&gt;"",C108&lt;&gt;"Vacant",C108&lt;&gt;"Manager"),'F-TIV'!P105,"")</f>
        <v/>
      </c>
      <c r="X108" s="1498" t="str">
        <f t="shared" si="42"/>
        <v/>
      </c>
      <c r="Y108" s="1501" t="str">
        <f>IF('F-TIV'!G105&lt;&gt;"",'F-TIV'!G105,"")</f>
        <v/>
      </c>
      <c r="Z108" s="1500" t="str">
        <f>IF(AND(C108&lt;&gt;"",C108&lt;&gt;"Vacant",C108&lt;&gt;"Manager"),'F-TIV'!L105,"")</f>
        <v/>
      </c>
      <c r="AA108" s="1499" t="str">
        <f t="shared" si="43"/>
        <v/>
      </c>
      <c r="AB108" s="1498" t="str">
        <f t="shared" si="44"/>
        <v/>
      </c>
      <c r="AC108" s="1426"/>
      <c r="AD108" s="1426"/>
      <c r="AE108" s="1426"/>
      <c r="AG108" s="1497"/>
      <c r="AL108" s="1496"/>
      <c r="AN108" s="1496"/>
      <c r="AO108" s="1496"/>
      <c r="AP108" s="1496"/>
      <c r="AQ108" s="1496"/>
      <c r="AR108" s="1496"/>
    </row>
    <row r="109" spans="2:44" s="1442" customFormat="1" ht="11.25" customHeight="1">
      <c r="B109" s="1501" t="str">
        <f t="shared" si="30"/>
        <v>0</v>
      </c>
      <c r="C109" s="1506" t="str">
        <f>IF('F-TIV'!D106&lt;&gt;"",'F-TIV'!D106,"")</f>
        <v/>
      </c>
      <c r="D109" s="1501" t="str">
        <f>IF('F-TIV'!C106&lt;&gt;"",'F-TIV'!C106,"")</f>
        <v/>
      </c>
      <c r="E109" s="1502" t="str">
        <f>IF('F-TIV'!Q106&lt;&gt;"",'F-TIV'!Q106,"")</f>
        <v/>
      </c>
      <c r="F109" s="1502" t="str">
        <f>IF('F-TIV'!R106&lt;&gt;"",'F-TIV'!R106,"")</f>
        <v/>
      </c>
      <c r="G109" s="1505" t="str">
        <f>IF('F-TIV'!S106&lt;&gt;"",'F-TIV'!S106,"")</f>
        <v/>
      </c>
      <c r="H109" s="1501" t="str">
        <f>IF('F-TIV'!F106&lt;&gt;"",'F-TIV'!F106,"")</f>
        <v/>
      </c>
      <c r="I109" s="1500" t="str">
        <f>IF(AND(C109&lt;&gt;"",C109&lt;&gt;"Vacant",C109&lt;&gt;"Manager"),IF('F-TIV'!H106&lt;&gt;"",'F-TIV'!H106,""),"")</f>
        <v/>
      </c>
      <c r="J109" s="1500" t="str">
        <f>IF(AND(C109&lt;&gt;"",C109&lt;&gt;"Vacant",C109&lt;&gt;"Manager"),IF('F-TIV'!J106&lt;&gt;0,'F-TIV'!J106,"$0"),"")</f>
        <v/>
      </c>
      <c r="K109" s="1500" t="str">
        <f t="shared" si="31"/>
        <v/>
      </c>
      <c r="L109" s="1504" t="str">
        <f t="shared" si="32"/>
        <v/>
      </c>
      <c r="M109" s="1504" t="str">
        <f t="shared" si="33"/>
        <v/>
      </c>
      <c r="N109" s="1504" t="str">
        <f t="shared" si="34"/>
        <v/>
      </c>
      <c r="O109" s="1504" t="str">
        <f t="shared" si="35"/>
        <v/>
      </c>
      <c r="P109" s="1504" t="str">
        <f t="shared" si="36"/>
        <v/>
      </c>
      <c r="Q109" s="1504" t="str">
        <f t="shared" si="37"/>
        <v/>
      </c>
      <c r="R109" s="1504" t="str">
        <f t="shared" si="38"/>
        <v/>
      </c>
      <c r="S109" s="1504" t="str">
        <f t="shared" si="39"/>
        <v/>
      </c>
      <c r="T109" s="1504" t="str">
        <f t="shared" si="40"/>
        <v/>
      </c>
      <c r="U109" s="1504" t="str">
        <f t="shared" si="41"/>
        <v/>
      </c>
      <c r="V109" s="1503" t="str">
        <f>IF(AND(C109&lt;&gt;"",C109&lt;&gt;"Vacant",C109&lt;&gt;"Manager"),'F-TIV'!O106,"")</f>
        <v/>
      </c>
      <c r="W109" s="1502" t="str">
        <f>IF(AND(C109&lt;&gt;"",C109&lt;&gt;"Vacant",C109&lt;&gt;"Manager"),'F-TIV'!P106,"")</f>
        <v/>
      </c>
      <c r="X109" s="1498" t="str">
        <f t="shared" si="42"/>
        <v/>
      </c>
      <c r="Y109" s="1501" t="str">
        <f>IF('F-TIV'!G106&lt;&gt;"",'F-TIV'!G106,"")</f>
        <v/>
      </c>
      <c r="Z109" s="1500" t="str">
        <f>IF(AND(C109&lt;&gt;"",C109&lt;&gt;"Vacant",C109&lt;&gt;"Manager"),'F-TIV'!L106,"")</f>
        <v/>
      </c>
      <c r="AA109" s="1499" t="str">
        <f t="shared" si="43"/>
        <v/>
      </c>
      <c r="AB109" s="1498" t="str">
        <f t="shared" si="44"/>
        <v/>
      </c>
      <c r="AC109" s="1426"/>
      <c r="AD109" s="1426"/>
      <c r="AE109" s="1426"/>
      <c r="AG109" s="1497"/>
      <c r="AL109" s="1496"/>
      <c r="AN109" s="1496"/>
      <c r="AO109" s="1496"/>
      <c r="AP109" s="1496"/>
      <c r="AQ109" s="1496"/>
      <c r="AR109" s="1496"/>
    </row>
    <row r="110" spans="2:44" s="1442" customFormat="1" ht="11.25" customHeight="1">
      <c r="B110" s="1501" t="str">
        <f t="shared" si="30"/>
        <v>0</v>
      </c>
      <c r="C110" s="1506" t="str">
        <f>IF('F-TIV'!D107&lt;&gt;"",'F-TIV'!D107,"")</f>
        <v/>
      </c>
      <c r="D110" s="1501" t="str">
        <f>IF('F-TIV'!C107&lt;&gt;"",'F-TIV'!C107,"")</f>
        <v/>
      </c>
      <c r="E110" s="1502" t="str">
        <f>IF('F-TIV'!Q107&lt;&gt;"",'F-TIV'!Q107,"")</f>
        <v/>
      </c>
      <c r="F110" s="1502" t="str">
        <f>IF('F-TIV'!R107&lt;&gt;"",'F-TIV'!R107,"")</f>
        <v/>
      </c>
      <c r="G110" s="1505" t="str">
        <f>IF('F-TIV'!S107&lt;&gt;"",'F-TIV'!S107,"")</f>
        <v/>
      </c>
      <c r="H110" s="1501" t="str">
        <f>IF('F-TIV'!F107&lt;&gt;"",'F-TIV'!F107,"")</f>
        <v/>
      </c>
      <c r="I110" s="1500" t="str">
        <f>IF(AND(C110&lt;&gt;"",C110&lt;&gt;"Vacant",C110&lt;&gt;"Manager"),IF('F-TIV'!H107&lt;&gt;"",'F-TIV'!H107,""),"")</f>
        <v/>
      </c>
      <c r="J110" s="1500" t="str">
        <f>IF(AND(C110&lt;&gt;"",C110&lt;&gt;"Vacant",C110&lt;&gt;"Manager"),IF('F-TIV'!J107&lt;&gt;0,'F-TIV'!J107,"$0"),"")</f>
        <v/>
      </c>
      <c r="K110" s="1500" t="str">
        <f t="shared" si="31"/>
        <v/>
      </c>
      <c r="L110" s="1504" t="str">
        <f t="shared" si="32"/>
        <v/>
      </c>
      <c r="M110" s="1504" t="str">
        <f t="shared" si="33"/>
        <v/>
      </c>
      <c r="N110" s="1504" t="str">
        <f t="shared" si="34"/>
        <v/>
      </c>
      <c r="O110" s="1504" t="str">
        <f t="shared" si="35"/>
        <v/>
      </c>
      <c r="P110" s="1504" t="str">
        <f t="shared" si="36"/>
        <v/>
      </c>
      <c r="Q110" s="1504" t="str">
        <f t="shared" si="37"/>
        <v/>
      </c>
      <c r="R110" s="1504" t="str">
        <f t="shared" si="38"/>
        <v/>
      </c>
      <c r="S110" s="1504" t="str">
        <f t="shared" si="39"/>
        <v/>
      </c>
      <c r="T110" s="1504" t="str">
        <f t="shared" si="40"/>
        <v/>
      </c>
      <c r="U110" s="1504" t="str">
        <f t="shared" si="41"/>
        <v/>
      </c>
      <c r="V110" s="1503" t="str">
        <f>IF(AND(C110&lt;&gt;"",C110&lt;&gt;"Vacant",C110&lt;&gt;"Manager"),'F-TIV'!O107,"")</f>
        <v/>
      </c>
      <c r="W110" s="1502" t="str">
        <f>IF(AND(C110&lt;&gt;"",C110&lt;&gt;"Vacant",C110&lt;&gt;"Manager"),'F-TIV'!P107,"")</f>
        <v/>
      </c>
      <c r="X110" s="1498" t="str">
        <f t="shared" si="42"/>
        <v/>
      </c>
      <c r="Y110" s="1501" t="str">
        <f>IF('F-TIV'!G107&lt;&gt;"",'F-TIV'!G107,"")</f>
        <v/>
      </c>
      <c r="Z110" s="1500" t="str">
        <f>IF(AND(C110&lt;&gt;"",C110&lt;&gt;"Vacant",C110&lt;&gt;"Manager"),'F-TIV'!L107,"")</f>
        <v/>
      </c>
      <c r="AA110" s="1499" t="str">
        <f t="shared" si="43"/>
        <v/>
      </c>
      <c r="AB110" s="1498" t="str">
        <f t="shared" si="44"/>
        <v/>
      </c>
      <c r="AC110" s="1426"/>
      <c r="AD110" s="1426"/>
      <c r="AE110" s="1426"/>
      <c r="AG110" s="1497"/>
      <c r="AL110" s="1496"/>
      <c r="AN110" s="1496"/>
      <c r="AO110" s="1496"/>
      <c r="AP110" s="1496"/>
      <c r="AQ110" s="1496"/>
      <c r="AR110" s="1496"/>
    </row>
    <row r="111" spans="2:44" s="1442" customFormat="1" ht="11.25" customHeight="1">
      <c r="B111" s="1501" t="str">
        <f t="shared" si="30"/>
        <v>0</v>
      </c>
      <c r="C111" s="1506" t="str">
        <f>IF('F-TIV'!D108&lt;&gt;"",'F-TIV'!D108,"")</f>
        <v/>
      </c>
      <c r="D111" s="1501" t="str">
        <f>IF('F-TIV'!C108&lt;&gt;"",'F-TIV'!C108,"")</f>
        <v/>
      </c>
      <c r="E111" s="1502" t="str">
        <f>IF('F-TIV'!Q108&lt;&gt;"",'F-TIV'!Q108,"")</f>
        <v/>
      </c>
      <c r="F111" s="1502" t="str">
        <f>IF('F-TIV'!R108&lt;&gt;"",'F-TIV'!R108,"")</f>
        <v/>
      </c>
      <c r="G111" s="1505" t="str">
        <f>IF('F-TIV'!S108&lt;&gt;"",'F-TIV'!S108,"")</f>
        <v/>
      </c>
      <c r="H111" s="1501" t="str">
        <f>IF('F-TIV'!F108&lt;&gt;"",'F-TIV'!F108,"")</f>
        <v/>
      </c>
      <c r="I111" s="1500" t="str">
        <f>IF(AND(C111&lt;&gt;"",C111&lt;&gt;"Vacant",C111&lt;&gt;"Manager"),IF('F-TIV'!H108&lt;&gt;"",'F-TIV'!H108,""),"")</f>
        <v/>
      </c>
      <c r="J111" s="1500" t="str">
        <f>IF(AND(C111&lt;&gt;"",C111&lt;&gt;"Vacant",C111&lt;&gt;"Manager"),IF('F-TIV'!J108&lt;&gt;0,'F-TIV'!J108,"$0"),"")</f>
        <v/>
      </c>
      <c r="K111" s="1500" t="str">
        <f t="shared" si="31"/>
        <v/>
      </c>
      <c r="L111" s="1504" t="str">
        <f t="shared" si="32"/>
        <v/>
      </c>
      <c r="M111" s="1504" t="str">
        <f t="shared" si="33"/>
        <v/>
      </c>
      <c r="N111" s="1504" t="str">
        <f t="shared" si="34"/>
        <v/>
      </c>
      <c r="O111" s="1504" t="str">
        <f t="shared" si="35"/>
        <v/>
      </c>
      <c r="P111" s="1504" t="str">
        <f t="shared" si="36"/>
        <v/>
      </c>
      <c r="Q111" s="1504" t="str">
        <f t="shared" si="37"/>
        <v/>
      </c>
      <c r="R111" s="1504" t="str">
        <f t="shared" si="38"/>
        <v/>
      </c>
      <c r="S111" s="1504" t="str">
        <f t="shared" si="39"/>
        <v/>
      </c>
      <c r="T111" s="1504" t="str">
        <f t="shared" si="40"/>
        <v/>
      </c>
      <c r="U111" s="1504" t="str">
        <f t="shared" si="41"/>
        <v/>
      </c>
      <c r="V111" s="1503" t="str">
        <f>IF(AND(C111&lt;&gt;"",C111&lt;&gt;"Vacant",C111&lt;&gt;"Manager"),'F-TIV'!O108,"")</f>
        <v/>
      </c>
      <c r="W111" s="1502" t="str">
        <f>IF(AND(C111&lt;&gt;"",C111&lt;&gt;"Vacant",C111&lt;&gt;"Manager"),'F-TIV'!P108,"")</f>
        <v/>
      </c>
      <c r="X111" s="1498" t="str">
        <f t="shared" si="42"/>
        <v/>
      </c>
      <c r="Y111" s="1501" t="str">
        <f>IF('F-TIV'!G108&lt;&gt;"",'F-TIV'!G108,"")</f>
        <v/>
      </c>
      <c r="Z111" s="1500" t="str">
        <f>IF(AND(C111&lt;&gt;"",C111&lt;&gt;"Vacant",C111&lt;&gt;"Manager"),'F-TIV'!L108,"")</f>
        <v/>
      </c>
      <c r="AA111" s="1499" t="str">
        <f t="shared" si="43"/>
        <v/>
      </c>
      <c r="AB111" s="1498" t="str">
        <f t="shared" si="44"/>
        <v/>
      </c>
      <c r="AC111" s="1426"/>
      <c r="AD111" s="1426"/>
      <c r="AE111" s="1426"/>
      <c r="AG111" s="1497"/>
      <c r="AL111" s="1496"/>
      <c r="AN111" s="1496"/>
      <c r="AO111" s="1496"/>
      <c r="AP111" s="1496"/>
      <c r="AQ111" s="1496"/>
      <c r="AR111" s="1496"/>
    </row>
    <row r="112" spans="2:44" s="1442" customFormat="1" ht="11.25" customHeight="1">
      <c r="B112" s="1501" t="str">
        <f t="shared" si="30"/>
        <v>0</v>
      </c>
      <c r="C112" s="1506" t="str">
        <f>IF('F-TIV'!D109&lt;&gt;"",'F-TIV'!D109,"")</f>
        <v/>
      </c>
      <c r="D112" s="1501" t="str">
        <f>IF('F-TIV'!C109&lt;&gt;"",'F-TIV'!C109,"")</f>
        <v/>
      </c>
      <c r="E112" s="1502" t="str">
        <f>IF('F-TIV'!Q109&lt;&gt;"",'F-TIV'!Q109,"")</f>
        <v/>
      </c>
      <c r="F112" s="1502" t="str">
        <f>IF('F-TIV'!R109&lt;&gt;"",'F-TIV'!R109,"")</f>
        <v/>
      </c>
      <c r="G112" s="1505" t="str">
        <f>IF('F-TIV'!S109&lt;&gt;"",'F-TIV'!S109,"")</f>
        <v/>
      </c>
      <c r="H112" s="1501" t="str">
        <f>IF('F-TIV'!F109&lt;&gt;"",'F-TIV'!F109,"")</f>
        <v/>
      </c>
      <c r="I112" s="1500" t="str">
        <f>IF(AND(C112&lt;&gt;"",C112&lt;&gt;"Vacant",C112&lt;&gt;"Manager"),IF('F-TIV'!H109&lt;&gt;"",'F-TIV'!H109,""),"")</f>
        <v/>
      </c>
      <c r="J112" s="1500" t="str">
        <f>IF(AND(C112&lt;&gt;"",C112&lt;&gt;"Vacant",C112&lt;&gt;"Manager"),IF('F-TIV'!J109&lt;&gt;0,'F-TIV'!J109,"$0"),"")</f>
        <v/>
      </c>
      <c r="K112" s="1500" t="str">
        <f t="shared" si="31"/>
        <v/>
      </c>
      <c r="L112" s="1504" t="str">
        <f t="shared" si="32"/>
        <v/>
      </c>
      <c r="M112" s="1504" t="str">
        <f t="shared" si="33"/>
        <v/>
      </c>
      <c r="N112" s="1504" t="str">
        <f t="shared" si="34"/>
        <v/>
      </c>
      <c r="O112" s="1504" t="str">
        <f t="shared" si="35"/>
        <v/>
      </c>
      <c r="P112" s="1504" t="str">
        <f t="shared" si="36"/>
        <v/>
      </c>
      <c r="Q112" s="1504" t="str">
        <f t="shared" si="37"/>
        <v/>
      </c>
      <c r="R112" s="1504" t="str">
        <f t="shared" si="38"/>
        <v/>
      </c>
      <c r="S112" s="1504" t="str">
        <f t="shared" si="39"/>
        <v/>
      </c>
      <c r="T112" s="1504" t="str">
        <f t="shared" si="40"/>
        <v/>
      </c>
      <c r="U112" s="1504" t="str">
        <f t="shared" si="41"/>
        <v/>
      </c>
      <c r="V112" s="1503" t="str">
        <f>IF(AND(C112&lt;&gt;"",C112&lt;&gt;"Vacant",C112&lt;&gt;"Manager"),'F-TIV'!O109,"")</f>
        <v/>
      </c>
      <c r="W112" s="1502" t="str">
        <f>IF(AND(C112&lt;&gt;"",C112&lt;&gt;"Vacant",C112&lt;&gt;"Manager"),'F-TIV'!P109,"")</f>
        <v/>
      </c>
      <c r="X112" s="1498" t="str">
        <f t="shared" si="42"/>
        <v/>
      </c>
      <c r="Y112" s="1501" t="str">
        <f>IF('F-TIV'!G109&lt;&gt;"",'F-TIV'!G109,"")</f>
        <v/>
      </c>
      <c r="Z112" s="1500" t="str">
        <f>IF(AND(C112&lt;&gt;"",C112&lt;&gt;"Vacant",C112&lt;&gt;"Manager"),'F-TIV'!L109,"")</f>
        <v/>
      </c>
      <c r="AA112" s="1499" t="str">
        <f t="shared" si="43"/>
        <v/>
      </c>
      <c r="AB112" s="1498" t="str">
        <f t="shared" si="44"/>
        <v/>
      </c>
      <c r="AC112" s="1426"/>
      <c r="AD112" s="1426"/>
      <c r="AE112" s="1426"/>
      <c r="AG112" s="1497"/>
      <c r="AL112" s="1496"/>
      <c r="AN112" s="1496"/>
      <c r="AO112" s="1496"/>
      <c r="AP112" s="1496"/>
      <c r="AQ112" s="1496"/>
      <c r="AR112" s="1496"/>
    </row>
    <row r="113" spans="2:44" s="1442" customFormat="1" ht="11.25" customHeight="1">
      <c r="B113" s="1501" t="str">
        <f t="shared" si="30"/>
        <v>0</v>
      </c>
      <c r="C113" s="1506" t="str">
        <f>IF('F-TIV'!D110&lt;&gt;"",'F-TIV'!D110,"")</f>
        <v/>
      </c>
      <c r="D113" s="1501" t="str">
        <f>IF('F-TIV'!C110&lt;&gt;"",'F-TIV'!C110,"")</f>
        <v/>
      </c>
      <c r="E113" s="1502" t="str">
        <f>IF('F-TIV'!Q110&lt;&gt;"",'F-TIV'!Q110,"")</f>
        <v/>
      </c>
      <c r="F113" s="1502" t="str">
        <f>IF('F-TIV'!R110&lt;&gt;"",'F-TIV'!R110,"")</f>
        <v/>
      </c>
      <c r="G113" s="1505" t="str">
        <f>IF('F-TIV'!S110&lt;&gt;"",'F-TIV'!S110,"")</f>
        <v/>
      </c>
      <c r="H113" s="1501" t="str">
        <f>IF('F-TIV'!F110&lt;&gt;"",'F-TIV'!F110,"")</f>
        <v/>
      </c>
      <c r="I113" s="1500" t="str">
        <f>IF(AND(C113&lt;&gt;"",C113&lt;&gt;"Vacant",C113&lt;&gt;"Manager"),IF('F-TIV'!H110&lt;&gt;"",'F-TIV'!H110,""),"")</f>
        <v/>
      </c>
      <c r="J113" s="1500" t="str">
        <f>IF(AND(C113&lt;&gt;"",C113&lt;&gt;"Vacant",C113&lt;&gt;"Manager"),IF('F-TIV'!J110&lt;&gt;0,'F-TIV'!J110,"$0"),"")</f>
        <v/>
      </c>
      <c r="K113" s="1500" t="str">
        <f t="shared" si="31"/>
        <v/>
      </c>
      <c r="L113" s="1504" t="str">
        <f t="shared" si="32"/>
        <v/>
      </c>
      <c r="M113" s="1504" t="str">
        <f t="shared" si="33"/>
        <v/>
      </c>
      <c r="N113" s="1504" t="str">
        <f t="shared" si="34"/>
        <v/>
      </c>
      <c r="O113" s="1504" t="str">
        <f t="shared" si="35"/>
        <v/>
      </c>
      <c r="P113" s="1504" t="str">
        <f t="shared" si="36"/>
        <v/>
      </c>
      <c r="Q113" s="1504" t="str">
        <f t="shared" si="37"/>
        <v/>
      </c>
      <c r="R113" s="1504" t="str">
        <f t="shared" si="38"/>
        <v/>
      </c>
      <c r="S113" s="1504" t="str">
        <f t="shared" si="39"/>
        <v/>
      </c>
      <c r="T113" s="1504" t="str">
        <f t="shared" si="40"/>
        <v/>
      </c>
      <c r="U113" s="1504" t="str">
        <f t="shared" si="41"/>
        <v/>
      </c>
      <c r="V113" s="1503" t="str">
        <f>IF(AND(C113&lt;&gt;"",C113&lt;&gt;"Vacant",C113&lt;&gt;"Manager"),'F-TIV'!O110,"")</f>
        <v/>
      </c>
      <c r="W113" s="1502" t="str">
        <f>IF(AND(C113&lt;&gt;"",C113&lt;&gt;"Vacant",C113&lt;&gt;"Manager"),'F-TIV'!P110,"")</f>
        <v/>
      </c>
      <c r="X113" s="1498" t="str">
        <f t="shared" si="42"/>
        <v/>
      </c>
      <c r="Y113" s="1501" t="str">
        <f>IF('F-TIV'!G110&lt;&gt;"",'F-TIV'!G110,"")</f>
        <v/>
      </c>
      <c r="Z113" s="1500" t="str">
        <f>IF(AND(C113&lt;&gt;"",C113&lt;&gt;"Vacant",C113&lt;&gt;"Manager"),'F-TIV'!L110,"")</f>
        <v/>
      </c>
      <c r="AA113" s="1499" t="str">
        <f t="shared" si="43"/>
        <v/>
      </c>
      <c r="AB113" s="1498" t="str">
        <f t="shared" si="44"/>
        <v/>
      </c>
      <c r="AC113" s="1426"/>
      <c r="AD113" s="1426"/>
      <c r="AE113" s="1426"/>
      <c r="AG113" s="1497"/>
      <c r="AL113" s="1496"/>
      <c r="AN113" s="1496"/>
      <c r="AO113" s="1496"/>
      <c r="AP113" s="1496"/>
      <c r="AQ113" s="1496"/>
      <c r="AR113" s="1496"/>
    </row>
    <row r="114" spans="2:44" s="1442" customFormat="1" ht="11.25" customHeight="1">
      <c r="B114" s="1501" t="str">
        <f t="shared" si="30"/>
        <v>0</v>
      </c>
      <c r="C114" s="1506" t="str">
        <f>IF('F-TIV'!D111&lt;&gt;"",'F-TIV'!D111,"")</f>
        <v/>
      </c>
      <c r="D114" s="1501" t="str">
        <f>IF('F-TIV'!C111&lt;&gt;"",'F-TIV'!C111,"")</f>
        <v/>
      </c>
      <c r="E114" s="1502" t="str">
        <f>IF('F-TIV'!Q111&lt;&gt;"",'F-TIV'!Q111,"")</f>
        <v/>
      </c>
      <c r="F114" s="1502" t="str">
        <f>IF('F-TIV'!R111&lt;&gt;"",'F-TIV'!R111,"")</f>
        <v/>
      </c>
      <c r="G114" s="1505" t="str">
        <f>IF('F-TIV'!S111&lt;&gt;"",'F-TIV'!S111,"")</f>
        <v/>
      </c>
      <c r="H114" s="1501" t="str">
        <f>IF('F-TIV'!F111&lt;&gt;"",'F-TIV'!F111,"")</f>
        <v/>
      </c>
      <c r="I114" s="1500" t="str">
        <f>IF(AND(C114&lt;&gt;"",C114&lt;&gt;"Vacant",C114&lt;&gt;"Manager"),IF('F-TIV'!H111&lt;&gt;"",'F-TIV'!H111,""),"")</f>
        <v/>
      </c>
      <c r="J114" s="1500" t="str">
        <f>IF(AND(C114&lt;&gt;"",C114&lt;&gt;"Vacant",C114&lt;&gt;"Manager"),IF('F-TIV'!J111&lt;&gt;0,'F-TIV'!J111,"$0"),"")</f>
        <v/>
      </c>
      <c r="K114" s="1500" t="str">
        <f t="shared" si="31"/>
        <v/>
      </c>
      <c r="L114" s="1504" t="str">
        <f t="shared" si="32"/>
        <v/>
      </c>
      <c r="M114" s="1504" t="str">
        <f t="shared" si="33"/>
        <v/>
      </c>
      <c r="N114" s="1504" t="str">
        <f t="shared" si="34"/>
        <v/>
      </c>
      <c r="O114" s="1504" t="str">
        <f t="shared" si="35"/>
        <v/>
      </c>
      <c r="P114" s="1504" t="str">
        <f t="shared" si="36"/>
        <v/>
      </c>
      <c r="Q114" s="1504" t="str">
        <f t="shared" si="37"/>
        <v/>
      </c>
      <c r="R114" s="1504" t="str">
        <f t="shared" si="38"/>
        <v/>
      </c>
      <c r="S114" s="1504" t="str">
        <f t="shared" si="39"/>
        <v/>
      </c>
      <c r="T114" s="1504" t="str">
        <f t="shared" si="40"/>
        <v/>
      </c>
      <c r="U114" s="1504" t="str">
        <f t="shared" si="41"/>
        <v/>
      </c>
      <c r="V114" s="1503" t="str">
        <f>IF(AND(C114&lt;&gt;"",C114&lt;&gt;"Vacant",C114&lt;&gt;"Manager"),'F-TIV'!O111,"")</f>
        <v/>
      </c>
      <c r="W114" s="1502" t="str">
        <f>IF(AND(C114&lt;&gt;"",C114&lt;&gt;"Vacant",C114&lt;&gt;"Manager"),'F-TIV'!P111,"")</f>
        <v/>
      </c>
      <c r="X114" s="1498" t="str">
        <f t="shared" si="42"/>
        <v/>
      </c>
      <c r="Y114" s="1501" t="str">
        <f>IF('F-TIV'!G111&lt;&gt;"",'F-TIV'!G111,"")</f>
        <v/>
      </c>
      <c r="Z114" s="1500" t="str">
        <f>IF(AND(C114&lt;&gt;"",C114&lt;&gt;"Vacant",C114&lt;&gt;"Manager"),'F-TIV'!L111,"")</f>
        <v/>
      </c>
      <c r="AA114" s="1499" t="str">
        <f t="shared" si="43"/>
        <v/>
      </c>
      <c r="AB114" s="1498" t="str">
        <f t="shared" si="44"/>
        <v/>
      </c>
      <c r="AC114" s="1426"/>
      <c r="AD114" s="1426"/>
      <c r="AE114" s="1426"/>
      <c r="AG114" s="1497"/>
      <c r="AL114" s="1496"/>
      <c r="AN114" s="1496"/>
      <c r="AO114" s="1496"/>
      <c r="AP114" s="1496"/>
      <c r="AQ114" s="1496"/>
      <c r="AR114" s="1496"/>
    </row>
    <row r="115" spans="2:44" s="1442" customFormat="1" ht="11.25" customHeight="1">
      <c r="B115" s="1501" t="str">
        <f t="shared" si="30"/>
        <v>0</v>
      </c>
      <c r="C115" s="1506" t="str">
        <f>IF('F-TIV'!D112&lt;&gt;"",'F-TIV'!D112,"")</f>
        <v/>
      </c>
      <c r="D115" s="1501" t="str">
        <f>IF('F-TIV'!C112&lt;&gt;"",'F-TIV'!C112,"")</f>
        <v/>
      </c>
      <c r="E115" s="1502" t="str">
        <f>IF('F-TIV'!Q112&lt;&gt;"",'F-TIV'!Q112,"")</f>
        <v/>
      </c>
      <c r="F115" s="1502" t="str">
        <f>IF('F-TIV'!R112&lt;&gt;"",'F-TIV'!R112,"")</f>
        <v/>
      </c>
      <c r="G115" s="1505" t="str">
        <f>IF('F-TIV'!S112&lt;&gt;"",'F-TIV'!S112,"")</f>
        <v/>
      </c>
      <c r="H115" s="1501" t="str">
        <f>IF('F-TIV'!F112&lt;&gt;"",'F-TIV'!F112,"")</f>
        <v/>
      </c>
      <c r="I115" s="1500" t="str">
        <f>IF(AND(C115&lt;&gt;"",C115&lt;&gt;"Vacant",C115&lt;&gt;"Manager"),IF('F-TIV'!H112&lt;&gt;"",'F-TIV'!H112,""),"")</f>
        <v/>
      </c>
      <c r="J115" s="1500" t="str">
        <f>IF(AND(C115&lt;&gt;"",C115&lt;&gt;"Vacant",C115&lt;&gt;"Manager"),IF('F-TIV'!J112&lt;&gt;0,'F-TIV'!J112,"$0"),"")</f>
        <v/>
      </c>
      <c r="K115" s="1500" t="str">
        <f t="shared" si="31"/>
        <v/>
      </c>
      <c r="L115" s="1504" t="str">
        <f t="shared" si="32"/>
        <v/>
      </c>
      <c r="M115" s="1504" t="str">
        <f t="shared" si="33"/>
        <v/>
      </c>
      <c r="N115" s="1504" t="str">
        <f t="shared" si="34"/>
        <v/>
      </c>
      <c r="O115" s="1504" t="str">
        <f t="shared" si="35"/>
        <v/>
      </c>
      <c r="P115" s="1504" t="str">
        <f t="shared" si="36"/>
        <v/>
      </c>
      <c r="Q115" s="1504" t="str">
        <f t="shared" si="37"/>
        <v/>
      </c>
      <c r="R115" s="1504" t="str">
        <f t="shared" si="38"/>
        <v/>
      </c>
      <c r="S115" s="1504" t="str">
        <f t="shared" si="39"/>
        <v/>
      </c>
      <c r="T115" s="1504" t="str">
        <f t="shared" si="40"/>
        <v/>
      </c>
      <c r="U115" s="1504" t="str">
        <f t="shared" si="41"/>
        <v/>
      </c>
      <c r="V115" s="1503" t="str">
        <f>IF(AND(C115&lt;&gt;"",C115&lt;&gt;"Vacant",C115&lt;&gt;"Manager"),'F-TIV'!O112,"")</f>
        <v/>
      </c>
      <c r="W115" s="1502" t="str">
        <f>IF(AND(C115&lt;&gt;"",C115&lt;&gt;"Vacant",C115&lt;&gt;"Manager"),'F-TIV'!P112,"")</f>
        <v/>
      </c>
      <c r="X115" s="1498" t="str">
        <f t="shared" si="42"/>
        <v/>
      </c>
      <c r="Y115" s="1501" t="str">
        <f>IF('F-TIV'!G112&lt;&gt;"",'F-TIV'!G112,"")</f>
        <v/>
      </c>
      <c r="Z115" s="1500" t="str">
        <f>IF(AND(C115&lt;&gt;"",C115&lt;&gt;"Vacant",C115&lt;&gt;"Manager"),'F-TIV'!L112,"")</f>
        <v/>
      </c>
      <c r="AA115" s="1499" t="str">
        <f t="shared" si="43"/>
        <v/>
      </c>
      <c r="AB115" s="1498" t="str">
        <f t="shared" si="44"/>
        <v/>
      </c>
      <c r="AC115" s="1426"/>
      <c r="AD115" s="1426"/>
      <c r="AE115" s="1426"/>
      <c r="AG115" s="1497"/>
      <c r="AL115" s="1496"/>
      <c r="AN115" s="1496"/>
      <c r="AO115" s="1496"/>
      <c r="AP115" s="1496"/>
      <c r="AQ115" s="1496"/>
      <c r="AR115" s="1496"/>
    </row>
    <row r="116" spans="2:44" s="1442" customFormat="1" ht="11.25" customHeight="1">
      <c r="B116" s="1501" t="str">
        <f t="shared" si="30"/>
        <v>0</v>
      </c>
      <c r="C116" s="1506" t="str">
        <f>IF('F-TIV'!D113&lt;&gt;"",'F-TIV'!D113,"")</f>
        <v/>
      </c>
      <c r="D116" s="1501" t="str">
        <f>IF('F-TIV'!C113&lt;&gt;"",'F-TIV'!C113,"")</f>
        <v/>
      </c>
      <c r="E116" s="1502" t="str">
        <f>IF('F-TIV'!Q113&lt;&gt;"",'F-TIV'!Q113,"")</f>
        <v/>
      </c>
      <c r="F116" s="1502" t="str">
        <f>IF('F-TIV'!R113&lt;&gt;"",'F-TIV'!R113,"")</f>
        <v/>
      </c>
      <c r="G116" s="1505" t="str">
        <f>IF('F-TIV'!S113&lt;&gt;"",'F-TIV'!S113,"")</f>
        <v/>
      </c>
      <c r="H116" s="1501" t="str">
        <f>IF('F-TIV'!F113&lt;&gt;"",'F-TIV'!F113,"")</f>
        <v/>
      </c>
      <c r="I116" s="1500" t="str">
        <f>IF(AND(C116&lt;&gt;"",C116&lt;&gt;"Vacant",C116&lt;&gt;"Manager"),IF('F-TIV'!H113&lt;&gt;"",'F-TIV'!H113,""),"")</f>
        <v/>
      </c>
      <c r="J116" s="1500" t="str">
        <f>IF(AND(C116&lt;&gt;"",C116&lt;&gt;"Vacant",C116&lt;&gt;"Manager"),IF('F-TIV'!J113&lt;&gt;0,'F-TIV'!J113,"$0"),"")</f>
        <v/>
      </c>
      <c r="K116" s="1500" t="str">
        <f t="shared" si="31"/>
        <v/>
      </c>
      <c r="L116" s="1504" t="str">
        <f t="shared" si="32"/>
        <v/>
      </c>
      <c r="M116" s="1504" t="str">
        <f t="shared" si="33"/>
        <v/>
      </c>
      <c r="N116" s="1504" t="str">
        <f t="shared" si="34"/>
        <v/>
      </c>
      <c r="O116" s="1504" t="str">
        <f t="shared" si="35"/>
        <v/>
      </c>
      <c r="P116" s="1504" t="str">
        <f t="shared" si="36"/>
        <v/>
      </c>
      <c r="Q116" s="1504" t="str">
        <f t="shared" si="37"/>
        <v/>
      </c>
      <c r="R116" s="1504" t="str">
        <f t="shared" si="38"/>
        <v/>
      </c>
      <c r="S116" s="1504" t="str">
        <f t="shared" si="39"/>
        <v/>
      </c>
      <c r="T116" s="1504" t="str">
        <f t="shared" si="40"/>
        <v/>
      </c>
      <c r="U116" s="1504" t="str">
        <f t="shared" si="41"/>
        <v/>
      </c>
      <c r="V116" s="1503" t="str">
        <f>IF(AND(C116&lt;&gt;"",C116&lt;&gt;"Vacant",C116&lt;&gt;"Manager"),'F-TIV'!O113,"")</f>
        <v/>
      </c>
      <c r="W116" s="1502" t="str">
        <f>IF(AND(C116&lt;&gt;"",C116&lt;&gt;"Vacant",C116&lt;&gt;"Manager"),'F-TIV'!P113,"")</f>
        <v/>
      </c>
      <c r="X116" s="1498" t="str">
        <f t="shared" si="42"/>
        <v/>
      </c>
      <c r="Y116" s="1501" t="str">
        <f>IF('F-TIV'!G113&lt;&gt;"",'F-TIV'!G113,"")</f>
        <v/>
      </c>
      <c r="Z116" s="1500" t="str">
        <f>IF(AND(C116&lt;&gt;"",C116&lt;&gt;"Vacant",C116&lt;&gt;"Manager"),'F-TIV'!L113,"")</f>
        <v/>
      </c>
      <c r="AA116" s="1499" t="str">
        <f t="shared" si="43"/>
        <v/>
      </c>
      <c r="AB116" s="1498" t="str">
        <f t="shared" si="44"/>
        <v/>
      </c>
      <c r="AC116" s="1426"/>
      <c r="AD116" s="1426"/>
      <c r="AE116" s="1426"/>
      <c r="AG116" s="1497"/>
      <c r="AL116" s="1496"/>
      <c r="AN116" s="1496"/>
      <c r="AO116" s="1496"/>
      <c r="AP116" s="1496"/>
      <c r="AQ116" s="1496"/>
      <c r="AR116" s="1496"/>
    </row>
    <row r="117" spans="2:44" s="1442" customFormat="1" ht="11.25" customHeight="1">
      <c r="B117" s="1501" t="str">
        <f t="shared" si="30"/>
        <v>0</v>
      </c>
      <c r="C117" s="1506" t="str">
        <f>IF('F-TIV'!D114&lt;&gt;"",'F-TIV'!D114,"")</f>
        <v/>
      </c>
      <c r="D117" s="1501" t="str">
        <f>IF('F-TIV'!C114&lt;&gt;"",'F-TIV'!C114,"")</f>
        <v/>
      </c>
      <c r="E117" s="1502" t="str">
        <f>IF('F-TIV'!Q114&lt;&gt;"",'F-TIV'!Q114,"")</f>
        <v/>
      </c>
      <c r="F117" s="1502" t="str">
        <f>IF('F-TIV'!R114&lt;&gt;"",'F-TIV'!R114,"")</f>
        <v/>
      </c>
      <c r="G117" s="1505" t="str">
        <f>IF('F-TIV'!S114&lt;&gt;"",'F-TIV'!S114,"")</f>
        <v/>
      </c>
      <c r="H117" s="1501" t="str">
        <f>IF('F-TIV'!F114&lt;&gt;"",'F-TIV'!F114,"")</f>
        <v/>
      </c>
      <c r="I117" s="1500" t="str">
        <f>IF(AND(C117&lt;&gt;"",C117&lt;&gt;"Vacant",C117&lt;&gt;"Manager"),IF('F-TIV'!H114&lt;&gt;"",'F-TIV'!H114,""),"")</f>
        <v/>
      </c>
      <c r="J117" s="1500" t="str">
        <f>IF(AND(C117&lt;&gt;"",C117&lt;&gt;"Vacant",C117&lt;&gt;"Manager"),IF('F-TIV'!J114&lt;&gt;0,'F-TIV'!J114,"$0"),"")</f>
        <v/>
      </c>
      <c r="K117" s="1500" t="str">
        <f t="shared" si="31"/>
        <v/>
      </c>
      <c r="L117" s="1504" t="str">
        <f t="shared" si="32"/>
        <v/>
      </c>
      <c r="M117" s="1504" t="str">
        <f t="shared" si="33"/>
        <v/>
      </c>
      <c r="N117" s="1504" t="str">
        <f t="shared" si="34"/>
        <v/>
      </c>
      <c r="O117" s="1504" t="str">
        <f t="shared" si="35"/>
        <v/>
      </c>
      <c r="P117" s="1504" t="str">
        <f t="shared" si="36"/>
        <v/>
      </c>
      <c r="Q117" s="1504" t="str">
        <f t="shared" si="37"/>
        <v/>
      </c>
      <c r="R117" s="1504" t="str">
        <f t="shared" si="38"/>
        <v/>
      </c>
      <c r="S117" s="1504" t="str">
        <f t="shared" si="39"/>
        <v/>
      </c>
      <c r="T117" s="1504" t="str">
        <f t="shared" si="40"/>
        <v/>
      </c>
      <c r="U117" s="1504" t="str">
        <f t="shared" si="41"/>
        <v/>
      </c>
      <c r="V117" s="1503" t="str">
        <f>IF(AND(C117&lt;&gt;"",C117&lt;&gt;"Vacant",C117&lt;&gt;"Manager"),'F-TIV'!O114,"")</f>
        <v/>
      </c>
      <c r="W117" s="1502" t="str">
        <f>IF(AND(C117&lt;&gt;"",C117&lt;&gt;"Vacant",C117&lt;&gt;"Manager"),'F-TIV'!P114,"")</f>
        <v/>
      </c>
      <c r="X117" s="1498" t="str">
        <f t="shared" si="42"/>
        <v/>
      </c>
      <c r="Y117" s="1501" t="str">
        <f>IF('F-TIV'!G114&lt;&gt;"",'F-TIV'!G114,"")</f>
        <v/>
      </c>
      <c r="Z117" s="1500" t="str">
        <f>IF(AND(C117&lt;&gt;"",C117&lt;&gt;"Vacant",C117&lt;&gt;"Manager"),'F-TIV'!L114,"")</f>
        <v/>
      </c>
      <c r="AA117" s="1499" t="str">
        <f t="shared" si="43"/>
        <v/>
      </c>
      <c r="AB117" s="1498" t="str">
        <f t="shared" si="44"/>
        <v/>
      </c>
      <c r="AC117" s="1426"/>
      <c r="AD117" s="1426"/>
      <c r="AE117" s="1426"/>
      <c r="AG117" s="1497"/>
      <c r="AL117" s="1496"/>
      <c r="AN117" s="1496"/>
      <c r="AO117" s="1496"/>
      <c r="AP117" s="1496"/>
      <c r="AQ117" s="1496"/>
      <c r="AR117" s="1496"/>
    </row>
    <row r="118" spans="2:44" s="1442" customFormat="1" ht="11.25" customHeight="1">
      <c r="B118" s="1501" t="str">
        <f t="shared" si="30"/>
        <v>0</v>
      </c>
      <c r="C118" s="1506" t="str">
        <f>IF('F-TIV'!D115&lt;&gt;"",'F-TIV'!D115,"")</f>
        <v/>
      </c>
      <c r="D118" s="1501" t="str">
        <f>IF('F-TIV'!C115&lt;&gt;"",'F-TIV'!C115,"")</f>
        <v/>
      </c>
      <c r="E118" s="1502" t="str">
        <f>IF('F-TIV'!Q115&lt;&gt;"",'F-TIV'!Q115,"")</f>
        <v/>
      </c>
      <c r="F118" s="1502" t="str">
        <f>IF('F-TIV'!R115&lt;&gt;"",'F-TIV'!R115,"")</f>
        <v/>
      </c>
      <c r="G118" s="1505" t="str">
        <f>IF('F-TIV'!S115&lt;&gt;"",'F-TIV'!S115,"")</f>
        <v/>
      </c>
      <c r="H118" s="1501" t="str">
        <f>IF('F-TIV'!F115&lt;&gt;"",'F-TIV'!F115,"")</f>
        <v/>
      </c>
      <c r="I118" s="1500" t="str">
        <f>IF(AND(C118&lt;&gt;"",C118&lt;&gt;"Vacant",C118&lt;&gt;"Manager"),IF('F-TIV'!H115&lt;&gt;"",'F-TIV'!H115,""),"")</f>
        <v/>
      </c>
      <c r="J118" s="1500" t="str">
        <f>IF(AND(C118&lt;&gt;"",C118&lt;&gt;"Vacant",C118&lt;&gt;"Manager"),IF('F-TIV'!J115&lt;&gt;0,'F-TIV'!J115,"$0"),"")</f>
        <v/>
      </c>
      <c r="K118" s="1500" t="str">
        <f t="shared" si="31"/>
        <v/>
      </c>
      <c r="L118" s="1504" t="str">
        <f t="shared" si="32"/>
        <v/>
      </c>
      <c r="M118" s="1504" t="str">
        <f t="shared" si="33"/>
        <v/>
      </c>
      <c r="N118" s="1504" t="str">
        <f t="shared" si="34"/>
        <v/>
      </c>
      <c r="O118" s="1504" t="str">
        <f t="shared" si="35"/>
        <v/>
      </c>
      <c r="P118" s="1504" t="str">
        <f t="shared" si="36"/>
        <v/>
      </c>
      <c r="Q118" s="1504" t="str">
        <f t="shared" si="37"/>
        <v/>
      </c>
      <c r="R118" s="1504" t="str">
        <f t="shared" si="38"/>
        <v/>
      </c>
      <c r="S118" s="1504" t="str">
        <f t="shared" si="39"/>
        <v/>
      </c>
      <c r="T118" s="1504" t="str">
        <f t="shared" si="40"/>
        <v/>
      </c>
      <c r="U118" s="1504" t="str">
        <f t="shared" si="41"/>
        <v/>
      </c>
      <c r="V118" s="1503" t="str">
        <f>IF(AND(C118&lt;&gt;"",C118&lt;&gt;"Vacant",C118&lt;&gt;"Manager"),'F-TIV'!O115,"")</f>
        <v/>
      </c>
      <c r="W118" s="1502" t="str">
        <f>IF(AND(C118&lt;&gt;"",C118&lt;&gt;"Vacant",C118&lt;&gt;"Manager"),'F-TIV'!P115,"")</f>
        <v/>
      </c>
      <c r="X118" s="1498" t="str">
        <f t="shared" si="42"/>
        <v/>
      </c>
      <c r="Y118" s="1501" t="str">
        <f>IF('F-TIV'!G115&lt;&gt;"",'F-TIV'!G115,"")</f>
        <v/>
      </c>
      <c r="Z118" s="1500" t="str">
        <f>IF(AND(C118&lt;&gt;"",C118&lt;&gt;"Vacant",C118&lt;&gt;"Manager"),'F-TIV'!L115,"")</f>
        <v/>
      </c>
      <c r="AA118" s="1499" t="str">
        <f t="shared" si="43"/>
        <v/>
      </c>
      <c r="AB118" s="1498" t="str">
        <f t="shared" si="44"/>
        <v/>
      </c>
      <c r="AC118" s="1426"/>
      <c r="AD118" s="1426"/>
      <c r="AE118" s="1426"/>
      <c r="AG118" s="1497"/>
      <c r="AL118" s="1496"/>
      <c r="AN118" s="1496"/>
      <c r="AO118" s="1496"/>
      <c r="AP118" s="1496"/>
      <c r="AQ118" s="1496"/>
      <c r="AR118" s="1496"/>
    </row>
    <row r="119" spans="2:44" s="1442" customFormat="1" ht="11.25" customHeight="1">
      <c r="B119" s="1501" t="str">
        <f t="shared" si="30"/>
        <v>0</v>
      </c>
      <c r="C119" s="1506" t="str">
        <f>IF('F-TIV'!D116&lt;&gt;"",'F-TIV'!D116,"")</f>
        <v/>
      </c>
      <c r="D119" s="1501" t="str">
        <f>IF('F-TIV'!C116&lt;&gt;"",'F-TIV'!C116,"")</f>
        <v/>
      </c>
      <c r="E119" s="1502" t="str">
        <f>IF('F-TIV'!Q116&lt;&gt;"",'F-TIV'!Q116,"")</f>
        <v/>
      </c>
      <c r="F119" s="1502" t="str">
        <f>IF('F-TIV'!R116&lt;&gt;"",'F-TIV'!R116,"")</f>
        <v/>
      </c>
      <c r="G119" s="1505" t="str">
        <f>IF('F-TIV'!S116&lt;&gt;"",'F-TIV'!S116,"")</f>
        <v/>
      </c>
      <c r="H119" s="1501" t="str">
        <f>IF('F-TIV'!F116&lt;&gt;"",'F-TIV'!F116,"")</f>
        <v/>
      </c>
      <c r="I119" s="1500" t="str">
        <f>IF(AND(C119&lt;&gt;"",C119&lt;&gt;"Vacant",C119&lt;&gt;"Manager"),IF('F-TIV'!H116&lt;&gt;"",'F-TIV'!H116,""),"")</f>
        <v/>
      </c>
      <c r="J119" s="1500" t="str">
        <f>IF(AND(C119&lt;&gt;"",C119&lt;&gt;"Vacant",C119&lt;&gt;"Manager"),IF('F-TIV'!J116&lt;&gt;0,'F-TIV'!J116,"$0"),"")</f>
        <v/>
      </c>
      <c r="K119" s="1500" t="str">
        <f t="shared" si="31"/>
        <v/>
      </c>
      <c r="L119" s="1504" t="str">
        <f t="shared" si="32"/>
        <v/>
      </c>
      <c r="M119" s="1504" t="str">
        <f t="shared" si="33"/>
        <v/>
      </c>
      <c r="N119" s="1504" t="str">
        <f t="shared" si="34"/>
        <v/>
      </c>
      <c r="O119" s="1504" t="str">
        <f t="shared" si="35"/>
        <v/>
      </c>
      <c r="P119" s="1504" t="str">
        <f t="shared" si="36"/>
        <v/>
      </c>
      <c r="Q119" s="1504" t="str">
        <f t="shared" si="37"/>
        <v/>
      </c>
      <c r="R119" s="1504" t="str">
        <f t="shared" si="38"/>
        <v/>
      </c>
      <c r="S119" s="1504" t="str">
        <f t="shared" si="39"/>
        <v/>
      </c>
      <c r="T119" s="1504" t="str">
        <f t="shared" si="40"/>
        <v/>
      </c>
      <c r="U119" s="1504" t="str">
        <f t="shared" si="41"/>
        <v/>
      </c>
      <c r="V119" s="1503" t="str">
        <f>IF(AND(C119&lt;&gt;"",C119&lt;&gt;"Vacant",C119&lt;&gt;"Manager"),'F-TIV'!O116,"")</f>
        <v/>
      </c>
      <c r="W119" s="1502" t="str">
        <f>IF(AND(C119&lt;&gt;"",C119&lt;&gt;"Vacant",C119&lt;&gt;"Manager"),'F-TIV'!P116,"")</f>
        <v/>
      </c>
      <c r="X119" s="1498" t="str">
        <f t="shared" si="42"/>
        <v/>
      </c>
      <c r="Y119" s="1501" t="str">
        <f>IF('F-TIV'!G116&lt;&gt;"",'F-TIV'!G116,"")</f>
        <v/>
      </c>
      <c r="Z119" s="1500" t="str">
        <f>IF(AND(C119&lt;&gt;"",C119&lt;&gt;"Vacant",C119&lt;&gt;"Manager"),'F-TIV'!L116,"")</f>
        <v/>
      </c>
      <c r="AA119" s="1499" t="str">
        <f t="shared" si="43"/>
        <v/>
      </c>
      <c r="AB119" s="1498" t="str">
        <f t="shared" si="44"/>
        <v/>
      </c>
      <c r="AC119" s="1426"/>
      <c r="AD119" s="1426"/>
      <c r="AE119" s="1426"/>
      <c r="AG119" s="1497"/>
      <c r="AL119" s="1496"/>
      <c r="AN119" s="1496"/>
      <c r="AO119" s="1496"/>
      <c r="AP119" s="1496"/>
      <c r="AQ119" s="1496"/>
      <c r="AR119" s="1496"/>
    </row>
    <row r="120" spans="2:44" s="1442" customFormat="1" ht="11.25" customHeight="1">
      <c r="B120" s="1501" t="str">
        <f t="shared" si="30"/>
        <v>0</v>
      </c>
      <c r="C120" s="1506" t="str">
        <f>IF('F-TIV'!D117&lt;&gt;"",'F-TIV'!D117,"")</f>
        <v/>
      </c>
      <c r="D120" s="1501" t="str">
        <f>IF('F-TIV'!C117&lt;&gt;"",'F-TIV'!C117,"")</f>
        <v/>
      </c>
      <c r="E120" s="1502" t="str">
        <f>IF('F-TIV'!Q117&lt;&gt;"",'F-TIV'!Q117,"")</f>
        <v/>
      </c>
      <c r="F120" s="1502" t="str">
        <f>IF('F-TIV'!R117&lt;&gt;"",'F-TIV'!R117,"")</f>
        <v/>
      </c>
      <c r="G120" s="1505" t="str">
        <f>IF('F-TIV'!S117&lt;&gt;"",'F-TIV'!S117,"")</f>
        <v/>
      </c>
      <c r="H120" s="1501" t="str">
        <f>IF('F-TIV'!F117&lt;&gt;"",'F-TIV'!F117,"")</f>
        <v/>
      </c>
      <c r="I120" s="1500" t="str">
        <f>IF(AND(C120&lt;&gt;"",C120&lt;&gt;"Vacant",C120&lt;&gt;"Manager"),IF('F-TIV'!H117&lt;&gt;"",'F-TIV'!H117,""),"")</f>
        <v/>
      </c>
      <c r="J120" s="1500" t="str">
        <f>IF(AND(C120&lt;&gt;"",C120&lt;&gt;"Vacant",C120&lt;&gt;"Manager"),IF('F-TIV'!J117&lt;&gt;0,'F-TIV'!J117,"$0"),"")</f>
        <v/>
      </c>
      <c r="K120" s="1500" t="str">
        <f t="shared" si="31"/>
        <v/>
      </c>
      <c r="L120" s="1504" t="str">
        <f t="shared" si="32"/>
        <v/>
      </c>
      <c r="M120" s="1504" t="str">
        <f t="shared" si="33"/>
        <v/>
      </c>
      <c r="N120" s="1504" t="str">
        <f t="shared" si="34"/>
        <v/>
      </c>
      <c r="O120" s="1504" t="str">
        <f t="shared" si="35"/>
        <v/>
      </c>
      <c r="P120" s="1504" t="str">
        <f t="shared" si="36"/>
        <v/>
      </c>
      <c r="Q120" s="1504" t="str">
        <f t="shared" si="37"/>
        <v/>
      </c>
      <c r="R120" s="1504" t="str">
        <f t="shared" si="38"/>
        <v/>
      </c>
      <c r="S120" s="1504" t="str">
        <f t="shared" si="39"/>
        <v/>
      </c>
      <c r="T120" s="1504" t="str">
        <f t="shared" si="40"/>
        <v/>
      </c>
      <c r="U120" s="1504" t="str">
        <f t="shared" si="41"/>
        <v/>
      </c>
      <c r="V120" s="1503" t="str">
        <f>IF(AND(C120&lt;&gt;"",C120&lt;&gt;"Vacant",C120&lt;&gt;"Manager"),'F-TIV'!O117,"")</f>
        <v/>
      </c>
      <c r="W120" s="1502" t="str">
        <f>IF(AND(C120&lt;&gt;"",C120&lt;&gt;"Vacant",C120&lt;&gt;"Manager"),'F-TIV'!P117,"")</f>
        <v/>
      </c>
      <c r="X120" s="1498" t="str">
        <f t="shared" si="42"/>
        <v/>
      </c>
      <c r="Y120" s="1501" t="str">
        <f>IF('F-TIV'!G117&lt;&gt;"",'F-TIV'!G117,"")</f>
        <v/>
      </c>
      <c r="Z120" s="1500" t="str">
        <f>IF(AND(C120&lt;&gt;"",C120&lt;&gt;"Vacant",C120&lt;&gt;"Manager"),'F-TIV'!L117,"")</f>
        <v/>
      </c>
      <c r="AA120" s="1499" t="str">
        <f t="shared" si="43"/>
        <v/>
      </c>
      <c r="AB120" s="1498" t="str">
        <f t="shared" si="44"/>
        <v/>
      </c>
      <c r="AC120" s="1426"/>
      <c r="AD120" s="1426"/>
      <c r="AE120" s="1426"/>
      <c r="AG120" s="1497"/>
      <c r="AL120" s="1496"/>
      <c r="AN120" s="1496"/>
      <c r="AO120" s="1496"/>
      <c r="AP120" s="1496"/>
      <c r="AQ120" s="1496"/>
      <c r="AR120" s="1496"/>
    </row>
    <row r="121" spans="2:44" s="1442" customFormat="1" ht="11.25" customHeight="1">
      <c r="B121" s="1501" t="str">
        <f t="shared" si="30"/>
        <v>0</v>
      </c>
      <c r="C121" s="1506" t="str">
        <f>IF('F-TIV'!D118&lt;&gt;"",'F-TIV'!D118,"")</f>
        <v/>
      </c>
      <c r="D121" s="1501" t="str">
        <f>IF('F-TIV'!C118&lt;&gt;"",'F-TIV'!C118,"")</f>
        <v/>
      </c>
      <c r="E121" s="1502" t="str">
        <f>IF('F-TIV'!Q118&lt;&gt;"",'F-TIV'!Q118,"")</f>
        <v/>
      </c>
      <c r="F121" s="1502" t="str">
        <f>IF('F-TIV'!R118&lt;&gt;"",'F-TIV'!R118,"")</f>
        <v/>
      </c>
      <c r="G121" s="1505" t="str">
        <f>IF('F-TIV'!S118&lt;&gt;"",'F-TIV'!S118,"")</f>
        <v/>
      </c>
      <c r="H121" s="1501" t="str">
        <f>IF('F-TIV'!F118&lt;&gt;"",'F-TIV'!F118,"")</f>
        <v/>
      </c>
      <c r="I121" s="1500" t="str">
        <f>IF(AND(C121&lt;&gt;"",C121&lt;&gt;"Vacant",C121&lt;&gt;"Manager"),IF('F-TIV'!H118&lt;&gt;"",'F-TIV'!H118,""),"")</f>
        <v/>
      </c>
      <c r="J121" s="1500" t="str">
        <f>IF(AND(C121&lt;&gt;"",C121&lt;&gt;"Vacant",C121&lt;&gt;"Manager"),IF('F-TIV'!J118&lt;&gt;0,'F-TIV'!J118,"$0"),"")</f>
        <v/>
      </c>
      <c r="K121" s="1500" t="str">
        <f t="shared" si="31"/>
        <v/>
      </c>
      <c r="L121" s="1504" t="str">
        <f t="shared" si="32"/>
        <v/>
      </c>
      <c r="M121" s="1504" t="str">
        <f t="shared" si="33"/>
        <v/>
      </c>
      <c r="N121" s="1504" t="str">
        <f t="shared" si="34"/>
        <v/>
      </c>
      <c r="O121" s="1504" t="str">
        <f t="shared" si="35"/>
        <v/>
      </c>
      <c r="P121" s="1504" t="str">
        <f t="shared" si="36"/>
        <v/>
      </c>
      <c r="Q121" s="1504" t="str">
        <f t="shared" si="37"/>
        <v/>
      </c>
      <c r="R121" s="1504" t="str">
        <f t="shared" si="38"/>
        <v/>
      </c>
      <c r="S121" s="1504" t="str">
        <f t="shared" si="39"/>
        <v/>
      </c>
      <c r="T121" s="1504" t="str">
        <f t="shared" si="40"/>
        <v/>
      </c>
      <c r="U121" s="1504" t="str">
        <f t="shared" si="41"/>
        <v/>
      </c>
      <c r="V121" s="1503" t="str">
        <f>IF(AND(C121&lt;&gt;"",C121&lt;&gt;"Vacant",C121&lt;&gt;"Manager"),'F-TIV'!O118,"")</f>
        <v/>
      </c>
      <c r="W121" s="1502" t="str">
        <f>IF(AND(C121&lt;&gt;"",C121&lt;&gt;"Vacant",C121&lt;&gt;"Manager"),'F-TIV'!P118,"")</f>
        <v/>
      </c>
      <c r="X121" s="1498" t="str">
        <f t="shared" si="42"/>
        <v/>
      </c>
      <c r="Y121" s="1501" t="str">
        <f>IF('F-TIV'!G118&lt;&gt;"",'F-TIV'!G118,"")</f>
        <v/>
      </c>
      <c r="Z121" s="1500" t="str">
        <f>IF(AND(C121&lt;&gt;"",C121&lt;&gt;"Vacant",C121&lt;&gt;"Manager"),'F-TIV'!L118,"")</f>
        <v/>
      </c>
      <c r="AA121" s="1499" t="str">
        <f t="shared" si="43"/>
        <v/>
      </c>
      <c r="AB121" s="1498" t="str">
        <f t="shared" si="44"/>
        <v/>
      </c>
      <c r="AC121" s="1426"/>
      <c r="AD121" s="1426"/>
      <c r="AE121" s="1426"/>
      <c r="AG121" s="1497"/>
      <c r="AL121" s="1496"/>
      <c r="AN121" s="1496"/>
      <c r="AO121" s="1496"/>
      <c r="AP121" s="1496"/>
      <c r="AQ121" s="1496"/>
      <c r="AR121" s="1496"/>
    </row>
    <row r="122" spans="2:44" s="1442" customFormat="1" ht="11.25" customHeight="1">
      <c r="B122" s="1501" t="str">
        <f t="shared" si="30"/>
        <v>0</v>
      </c>
      <c r="C122" s="1506" t="str">
        <f>IF('F-TIV'!D119&lt;&gt;"",'F-TIV'!D119,"")</f>
        <v/>
      </c>
      <c r="D122" s="1501" t="str">
        <f>IF('F-TIV'!C119&lt;&gt;"",'F-TIV'!C119,"")</f>
        <v/>
      </c>
      <c r="E122" s="1502" t="str">
        <f>IF('F-TIV'!Q119&lt;&gt;"",'F-TIV'!Q119,"")</f>
        <v/>
      </c>
      <c r="F122" s="1502" t="str">
        <f>IF('F-TIV'!R119&lt;&gt;"",'F-TIV'!R119,"")</f>
        <v/>
      </c>
      <c r="G122" s="1505" t="str">
        <f>IF('F-TIV'!S119&lt;&gt;"",'F-TIV'!S119,"")</f>
        <v/>
      </c>
      <c r="H122" s="1501" t="str">
        <f>IF('F-TIV'!F119&lt;&gt;"",'F-TIV'!F119,"")</f>
        <v/>
      </c>
      <c r="I122" s="1500" t="str">
        <f>IF(AND(C122&lt;&gt;"",C122&lt;&gt;"Vacant",C122&lt;&gt;"Manager"),IF('F-TIV'!H119&lt;&gt;"",'F-TIV'!H119,""),"")</f>
        <v/>
      </c>
      <c r="J122" s="1500" t="str">
        <f>IF(AND(C122&lt;&gt;"",C122&lt;&gt;"Vacant",C122&lt;&gt;"Manager"),IF('F-TIV'!J119&lt;&gt;0,'F-TIV'!J119,"$0"),"")</f>
        <v/>
      </c>
      <c r="K122" s="1500" t="str">
        <f t="shared" si="31"/>
        <v/>
      </c>
      <c r="L122" s="1504" t="str">
        <f t="shared" si="32"/>
        <v/>
      </c>
      <c r="M122" s="1504" t="str">
        <f t="shared" si="33"/>
        <v/>
      </c>
      <c r="N122" s="1504" t="str">
        <f t="shared" si="34"/>
        <v/>
      </c>
      <c r="O122" s="1504" t="str">
        <f t="shared" si="35"/>
        <v/>
      </c>
      <c r="P122" s="1504" t="str">
        <f t="shared" si="36"/>
        <v/>
      </c>
      <c r="Q122" s="1504" t="str">
        <f t="shared" si="37"/>
        <v/>
      </c>
      <c r="R122" s="1504" t="str">
        <f t="shared" si="38"/>
        <v/>
      </c>
      <c r="S122" s="1504" t="str">
        <f t="shared" si="39"/>
        <v/>
      </c>
      <c r="T122" s="1504" t="str">
        <f t="shared" si="40"/>
        <v/>
      </c>
      <c r="U122" s="1504" t="str">
        <f t="shared" si="41"/>
        <v/>
      </c>
      <c r="V122" s="1503" t="str">
        <f>IF(AND(C122&lt;&gt;"",C122&lt;&gt;"Vacant",C122&lt;&gt;"Manager"),'F-TIV'!O119,"")</f>
        <v/>
      </c>
      <c r="W122" s="1502" t="str">
        <f>IF(AND(C122&lt;&gt;"",C122&lt;&gt;"Vacant",C122&lt;&gt;"Manager"),'F-TIV'!P119,"")</f>
        <v/>
      </c>
      <c r="X122" s="1498" t="str">
        <f t="shared" si="42"/>
        <v/>
      </c>
      <c r="Y122" s="1501" t="str">
        <f>IF('F-TIV'!G119&lt;&gt;"",'F-TIV'!G119,"")</f>
        <v/>
      </c>
      <c r="Z122" s="1500" t="str">
        <f>IF(AND(C122&lt;&gt;"",C122&lt;&gt;"Vacant",C122&lt;&gt;"Manager"),'F-TIV'!L119,"")</f>
        <v/>
      </c>
      <c r="AA122" s="1499" t="str">
        <f t="shared" si="43"/>
        <v/>
      </c>
      <c r="AB122" s="1498" t="str">
        <f t="shared" si="44"/>
        <v/>
      </c>
      <c r="AC122" s="1426"/>
      <c r="AD122" s="1426"/>
      <c r="AE122" s="1426"/>
      <c r="AG122" s="1497"/>
      <c r="AL122" s="1496"/>
      <c r="AN122" s="1496"/>
      <c r="AO122" s="1496"/>
      <c r="AP122" s="1496"/>
      <c r="AQ122" s="1496"/>
      <c r="AR122" s="1496"/>
    </row>
    <row r="123" spans="2:44" s="1442" customFormat="1" ht="11.25" customHeight="1">
      <c r="B123" s="1501" t="str">
        <f t="shared" si="30"/>
        <v>0</v>
      </c>
      <c r="C123" s="1506" t="str">
        <f>IF('F-TIV'!D120&lt;&gt;"",'F-TIV'!D120,"")</f>
        <v/>
      </c>
      <c r="D123" s="1501" t="str">
        <f>IF('F-TIV'!C120&lt;&gt;"",'F-TIV'!C120,"")</f>
        <v/>
      </c>
      <c r="E123" s="1502" t="str">
        <f>IF('F-TIV'!Q120&lt;&gt;"",'F-TIV'!Q120,"")</f>
        <v/>
      </c>
      <c r="F123" s="1502" t="str">
        <f>IF('F-TIV'!R120&lt;&gt;"",'F-TIV'!R120,"")</f>
        <v/>
      </c>
      <c r="G123" s="1505" t="str">
        <f>IF('F-TIV'!S120&lt;&gt;"",'F-TIV'!S120,"")</f>
        <v/>
      </c>
      <c r="H123" s="1501" t="str">
        <f>IF('F-TIV'!F120&lt;&gt;"",'F-TIV'!F120,"")</f>
        <v/>
      </c>
      <c r="I123" s="1500" t="str">
        <f>IF(AND(C123&lt;&gt;"",C123&lt;&gt;"Vacant",C123&lt;&gt;"Manager"),IF('F-TIV'!H120&lt;&gt;"",'F-TIV'!H120,""),"")</f>
        <v/>
      </c>
      <c r="J123" s="1500" t="str">
        <f>IF(AND(C123&lt;&gt;"",C123&lt;&gt;"Vacant",C123&lt;&gt;"Manager"),IF('F-TIV'!J120&lt;&gt;0,'F-TIV'!J120,"$0"),"")</f>
        <v/>
      </c>
      <c r="K123" s="1500" t="str">
        <f t="shared" si="31"/>
        <v/>
      </c>
      <c r="L123" s="1504" t="str">
        <f t="shared" si="32"/>
        <v/>
      </c>
      <c r="M123" s="1504" t="str">
        <f t="shared" si="33"/>
        <v/>
      </c>
      <c r="N123" s="1504" t="str">
        <f t="shared" si="34"/>
        <v/>
      </c>
      <c r="O123" s="1504" t="str">
        <f t="shared" si="35"/>
        <v/>
      </c>
      <c r="P123" s="1504" t="str">
        <f t="shared" si="36"/>
        <v/>
      </c>
      <c r="Q123" s="1504" t="str">
        <f t="shared" si="37"/>
        <v/>
      </c>
      <c r="R123" s="1504" t="str">
        <f t="shared" si="38"/>
        <v/>
      </c>
      <c r="S123" s="1504" t="str">
        <f t="shared" si="39"/>
        <v/>
      </c>
      <c r="T123" s="1504" t="str">
        <f t="shared" si="40"/>
        <v/>
      </c>
      <c r="U123" s="1504" t="str">
        <f t="shared" si="41"/>
        <v/>
      </c>
      <c r="V123" s="1503" t="str">
        <f>IF(AND(C123&lt;&gt;"",C123&lt;&gt;"Vacant",C123&lt;&gt;"Manager"),'F-TIV'!O120,"")</f>
        <v/>
      </c>
      <c r="W123" s="1502" t="str">
        <f>IF(AND(C123&lt;&gt;"",C123&lt;&gt;"Vacant",C123&lt;&gt;"Manager"),'F-TIV'!P120,"")</f>
        <v/>
      </c>
      <c r="X123" s="1498" t="str">
        <f t="shared" si="42"/>
        <v/>
      </c>
      <c r="Y123" s="1501" t="str">
        <f>IF('F-TIV'!G120&lt;&gt;"",'F-TIV'!G120,"")</f>
        <v/>
      </c>
      <c r="Z123" s="1500" t="str">
        <f>IF(AND(C123&lt;&gt;"",C123&lt;&gt;"Vacant",C123&lt;&gt;"Manager"),'F-TIV'!L120,"")</f>
        <v/>
      </c>
      <c r="AA123" s="1499" t="str">
        <f t="shared" si="43"/>
        <v/>
      </c>
      <c r="AB123" s="1498" t="str">
        <f t="shared" si="44"/>
        <v/>
      </c>
      <c r="AC123" s="1426"/>
      <c r="AD123" s="1426"/>
      <c r="AE123" s="1426"/>
      <c r="AG123" s="1497"/>
      <c r="AL123" s="1496"/>
      <c r="AN123" s="1496"/>
      <c r="AO123" s="1496"/>
      <c r="AP123" s="1496"/>
      <c r="AQ123" s="1496"/>
      <c r="AR123" s="1496"/>
    </row>
    <row r="124" spans="2:44" s="1442" customFormat="1" ht="11.25" customHeight="1">
      <c r="B124" s="1501" t="str">
        <f t="shared" si="30"/>
        <v>0</v>
      </c>
      <c r="C124" s="1506" t="str">
        <f>IF('F-TIV'!D121&lt;&gt;"",'F-TIV'!D121,"")</f>
        <v/>
      </c>
      <c r="D124" s="1501" t="str">
        <f>IF('F-TIV'!C121&lt;&gt;"",'F-TIV'!C121,"")</f>
        <v/>
      </c>
      <c r="E124" s="1502" t="str">
        <f>IF('F-TIV'!Q121&lt;&gt;"",'F-TIV'!Q121,"")</f>
        <v/>
      </c>
      <c r="F124" s="1502" t="str">
        <f>IF('F-TIV'!R121&lt;&gt;"",'F-TIV'!R121,"")</f>
        <v/>
      </c>
      <c r="G124" s="1505" t="str">
        <f>IF('F-TIV'!S121&lt;&gt;"",'F-TIV'!S121,"")</f>
        <v/>
      </c>
      <c r="H124" s="1501" t="str">
        <f>IF('F-TIV'!F121&lt;&gt;"",'F-TIV'!F121,"")</f>
        <v/>
      </c>
      <c r="I124" s="1500" t="str">
        <f>IF(AND(C124&lt;&gt;"",C124&lt;&gt;"Vacant",C124&lt;&gt;"Manager"),IF('F-TIV'!H121&lt;&gt;"",'F-TIV'!H121,""),"")</f>
        <v/>
      </c>
      <c r="J124" s="1500" t="str">
        <f>IF(AND(C124&lt;&gt;"",C124&lt;&gt;"Vacant",C124&lt;&gt;"Manager"),IF('F-TIV'!J121&lt;&gt;0,'F-TIV'!J121,"$0"),"")</f>
        <v/>
      </c>
      <c r="K124" s="1500" t="str">
        <f t="shared" si="31"/>
        <v/>
      </c>
      <c r="L124" s="1504" t="str">
        <f t="shared" si="32"/>
        <v/>
      </c>
      <c r="M124" s="1504" t="str">
        <f t="shared" si="33"/>
        <v/>
      </c>
      <c r="N124" s="1504" t="str">
        <f t="shared" si="34"/>
        <v/>
      </c>
      <c r="O124" s="1504" t="str">
        <f t="shared" si="35"/>
        <v/>
      </c>
      <c r="P124" s="1504" t="str">
        <f t="shared" si="36"/>
        <v/>
      </c>
      <c r="Q124" s="1504" t="str">
        <f t="shared" si="37"/>
        <v/>
      </c>
      <c r="R124" s="1504" t="str">
        <f t="shared" si="38"/>
        <v/>
      </c>
      <c r="S124" s="1504" t="str">
        <f t="shared" si="39"/>
        <v/>
      </c>
      <c r="T124" s="1504" t="str">
        <f t="shared" si="40"/>
        <v/>
      </c>
      <c r="U124" s="1504" t="str">
        <f t="shared" si="41"/>
        <v/>
      </c>
      <c r="V124" s="1503" t="str">
        <f>IF(AND(C124&lt;&gt;"",C124&lt;&gt;"Vacant",C124&lt;&gt;"Manager"),'F-TIV'!O121,"")</f>
        <v/>
      </c>
      <c r="W124" s="1502" t="str">
        <f>IF(AND(C124&lt;&gt;"",C124&lt;&gt;"Vacant",C124&lt;&gt;"Manager"),'F-TIV'!P121,"")</f>
        <v/>
      </c>
      <c r="X124" s="1498" t="str">
        <f t="shared" si="42"/>
        <v/>
      </c>
      <c r="Y124" s="1501" t="str">
        <f>IF('F-TIV'!G121&lt;&gt;"",'F-TIV'!G121,"")</f>
        <v/>
      </c>
      <c r="Z124" s="1500" t="str">
        <f>IF(AND(C124&lt;&gt;"",C124&lt;&gt;"Vacant",C124&lt;&gt;"Manager"),'F-TIV'!L121,"")</f>
        <v/>
      </c>
      <c r="AA124" s="1499" t="str">
        <f t="shared" si="43"/>
        <v/>
      </c>
      <c r="AB124" s="1498" t="str">
        <f t="shared" si="44"/>
        <v/>
      </c>
      <c r="AC124" s="1426"/>
      <c r="AD124" s="1426"/>
      <c r="AE124" s="1426"/>
      <c r="AG124" s="1497"/>
      <c r="AL124" s="1496"/>
      <c r="AN124" s="1496"/>
      <c r="AO124" s="1496"/>
      <c r="AP124" s="1496"/>
      <c r="AQ124" s="1496"/>
      <c r="AR124" s="1496"/>
    </row>
    <row r="125" spans="2:44" s="1442" customFormat="1" ht="11.25" customHeight="1">
      <c r="B125" s="1501" t="str">
        <f t="shared" si="30"/>
        <v>0</v>
      </c>
      <c r="C125" s="1506" t="str">
        <f>IF('F-TIV'!D122&lt;&gt;"",'F-TIV'!D122,"")</f>
        <v/>
      </c>
      <c r="D125" s="1501" t="str">
        <f>IF('F-TIV'!C122&lt;&gt;"",'F-TIV'!C122,"")</f>
        <v/>
      </c>
      <c r="E125" s="1502" t="str">
        <f>IF('F-TIV'!Q122&lt;&gt;"",'F-TIV'!Q122,"")</f>
        <v/>
      </c>
      <c r="F125" s="1502" t="str">
        <f>IF('F-TIV'!R122&lt;&gt;"",'F-TIV'!R122,"")</f>
        <v/>
      </c>
      <c r="G125" s="1505" t="str">
        <f>IF('F-TIV'!S122&lt;&gt;"",'F-TIV'!S122,"")</f>
        <v/>
      </c>
      <c r="H125" s="1501" t="str">
        <f>IF('F-TIV'!F122&lt;&gt;"",'F-TIV'!F122,"")</f>
        <v/>
      </c>
      <c r="I125" s="1500" t="str">
        <f>IF(AND(C125&lt;&gt;"",C125&lt;&gt;"Vacant",C125&lt;&gt;"Manager"),IF('F-TIV'!H122&lt;&gt;"",'F-TIV'!H122,""),"")</f>
        <v/>
      </c>
      <c r="J125" s="1500" t="str">
        <f>IF(AND(C125&lt;&gt;"",C125&lt;&gt;"Vacant",C125&lt;&gt;"Manager"),IF('F-TIV'!J122&lt;&gt;0,'F-TIV'!J122,"$0"),"")</f>
        <v/>
      </c>
      <c r="K125" s="1500" t="str">
        <f t="shared" si="31"/>
        <v/>
      </c>
      <c r="L125" s="1504" t="str">
        <f t="shared" si="32"/>
        <v/>
      </c>
      <c r="M125" s="1504" t="str">
        <f t="shared" si="33"/>
        <v/>
      </c>
      <c r="N125" s="1504" t="str">
        <f t="shared" si="34"/>
        <v/>
      </c>
      <c r="O125" s="1504" t="str">
        <f t="shared" si="35"/>
        <v/>
      </c>
      <c r="P125" s="1504" t="str">
        <f t="shared" si="36"/>
        <v/>
      </c>
      <c r="Q125" s="1504" t="str">
        <f t="shared" si="37"/>
        <v/>
      </c>
      <c r="R125" s="1504" t="str">
        <f t="shared" si="38"/>
        <v/>
      </c>
      <c r="S125" s="1504" t="str">
        <f t="shared" si="39"/>
        <v/>
      </c>
      <c r="T125" s="1504" t="str">
        <f t="shared" si="40"/>
        <v/>
      </c>
      <c r="U125" s="1504" t="str">
        <f t="shared" si="41"/>
        <v/>
      </c>
      <c r="V125" s="1503" t="str">
        <f>IF(AND(C125&lt;&gt;"",C125&lt;&gt;"Vacant",C125&lt;&gt;"Manager"),'F-TIV'!O122,"")</f>
        <v/>
      </c>
      <c r="W125" s="1502" t="str">
        <f>IF(AND(C125&lt;&gt;"",C125&lt;&gt;"Vacant",C125&lt;&gt;"Manager"),'F-TIV'!P122,"")</f>
        <v/>
      </c>
      <c r="X125" s="1498" t="str">
        <f t="shared" si="42"/>
        <v/>
      </c>
      <c r="Y125" s="1501" t="str">
        <f>IF('F-TIV'!G122&lt;&gt;"",'F-TIV'!G122,"")</f>
        <v/>
      </c>
      <c r="Z125" s="1500" t="str">
        <f>IF(AND(C125&lt;&gt;"",C125&lt;&gt;"Vacant",C125&lt;&gt;"Manager"),'F-TIV'!L122,"")</f>
        <v/>
      </c>
      <c r="AA125" s="1499" t="str">
        <f t="shared" si="43"/>
        <v/>
      </c>
      <c r="AB125" s="1498" t="str">
        <f t="shared" si="44"/>
        <v/>
      </c>
      <c r="AC125" s="1426"/>
      <c r="AD125" s="1426"/>
      <c r="AE125" s="1426"/>
      <c r="AG125" s="1497"/>
      <c r="AL125" s="1496"/>
      <c r="AN125" s="1496"/>
      <c r="AO125" s="1496"/>
      <c r="AP125" s="1496"/>
      <c r="AQ125" s="1496"/>
      <c r="AR125" s="1496"/>
    </row>
    <row r="126" spans="2:44" s="1442" customFormat="1" ht="11.25" customHeight="1">
      <c r="B126" s="1501" t="str">
        <f t="shared" ref="B126:B157" si="45">IF((C126&lt;&gt;""),"1","0")</f>
        <v>0</v>
      </c>
      <c r="C126" s="1506" t="str">
        <f>IF('F-TIV'!D123&lt;&gt;"",'F-TIV'!D123,"")</f>
        <v/>
      </c>
      <c r="D126" s="1501" t="str">
        <f>IF('F-TIV'!C123&lt;&gt;"",'F-TIV'!C123,"")</f>
        <v/>
      </c>
      <c r="E126" s="1502" t="str">
        <f>IF('F-TIV'!Q123&lt;&gt;"",'F-TIV'!Q123,"")</f>
        <v/>
      </c>
      <c r="F126" s="1502" t="str">
        <f>IF('F-TIV'!R123&lt;&gt;"",'F-TIV'!R123,"")</f>
        <v/>
      </c>
      <c r="G126" s="1505" t="str">
        <f>IF('F-TIV'!S123&lt;&gt;"",'F-TIV'!S123,"")</f>
        <v/>
      </c>
      <c r="H126" s="1501" t="str">
        <f>IF('F-TIV'!F123&lt;&gt;"",'F-TIV'!F123,"")</f>
        <v/>
      </c>
      <c r="I126" s="1500" t="str">
        <f>IF(AND(C126&lt;&gt;"",C126&lt;&gt;"Vacant",C126&lt;&gt;"Manager"),IF('F-TIV'!H123&lt;&gt;"",'F-TIV'!H123,""),"")</f>
        <v/>
      </c>
      <c r="J126" s="1500" t="str">
        <f>IF(AND(C126&lt;&gt;"",C126&lt;&gt;"Vacant",C126&lt;&gt;"Manager"),IF('F-TIV'!J123&lt;&gt;0,'F-TIV'!J123,"$0"),"")</f>
        <v/>
      </c>
      <c r="K126" s="1500" t="str">
        <f t="shared" ref="K126:K157" si="46">IFERROR(I126-J126,"")</f>
        <v/>
      </c>
      <c r="L126" s="1504" t="str">
        <f t="shared" ref="L126:L157" si="47">IF(AND(C126&lt;&gt;"Vacant",C126&lt;&gt;"Manager",C126&lt;&gt;""),IF(C126="","",IF(H126="Studio",_VLI1,IF(H126=1,_VLI2,IF(H126=2,_VLI3,IF(H126=3,_VLI5,IF(H126=4,_VLI6,IF(H126=5,_VLI7,_VLI8))))))),"")</f>
        <v/>
      </c>
      <c r="M126" s="1504" t="str">
        <f t="shared" ref="M126:M157" si="48">IF(AND(C126&lt;&gt;"Vacant",C126&lt;&gt;"",C126&lt;&gt;"Manager"),(IF(L126&gt;=K126,"Yes",IF(L126&lt;K126,"No"))),"")</f>
        <v/>
      </c>
      <c r="N126" s="1504" t="str">
        <f t="shared" ref="N126:N157" si="49">IF(AND(C126&lt;&gt;"Vacant",C126&lt;&gt;"",C126&lt;&gt;"Manager"),IF(H126="","",IF(H126="Studio",RENT1,IF(H126=1,RENT2,IF(H126=2,RENT3,IF(H126=3,RENT5,IF(H126=4,RENT6,IF(H126=5,RENT7,RENT8))))))),"")</f>
        <v/>
      </c>
      <c r="O126" s="1504" t="str">
        <f t="shared" ref="O126:O157" si="50">IF(AND(C126&lt;&gt;"Vacant",C126&lt;&gt;"",C126&lt;&gt;"Manager"),(IF(N126&gt;=K126,"Yes",IF(N126&lt;K126,"No"))),"")</f>
        <v/>
      </c>
      <c r="P126" s="1504" t="str">
        <f t="shared" ref="P126:P157" si="51">IF(AND(C126&lt;&gt;"Vacant", C126&lt;&gt;"Manager",C126&lt;&gt;""),IF(H126="","",IF(H126="Studio",RENTA1,IF(H126=1,RENTA2,IF(H126=2,RENTA3,IF(H126=3,RENTA5,IF(H126=4,RENTA6,IF(H126=5,RENTA7,RENTA8))))))),"")</f>
        <v/>
      </c>
      <c r="Q126" s="1504" t="str">
        <f t="shared" ref="Q126:Q157" si="52">IF(AND(C126&lt;&gt;"Vacant",C126&lt;&gt;"",C126&lt;&gt;"Manager"),(IF(P126&gt;=K126,"Yes",IF(P126&lt;K126,"No"))),"")</f>
        <v/>
      </c>
      <c r="R126" s="1504" t="str">
        <f t="shared" ref="R126:R157" si="53">IF(AND(C126&lt;&gt;"Vacant",C126&lt;&gt;"Manager",C126&lt;&gt;""),IF(H126="","",IF(H126="Studio",$F$16,IF(H126=1,$G$16,IF(H126=2,$H$16,IF(H126=3,$J$16,IF(H126=4,$K$16,IF(H126=5,$L$16,$M$16))))))),"")</f>
        <v/>
      </c>
      <c r="S126" s="1504" t="str">
        <f t="shared" ref="S126:S157" si="54">IF(AND(C126&lt;&gt;"Vacant",C126&lt;&gt;"",C126&lt;&gt;"Manager"),(IF(R126&gt;=K126,"Yes",IF(R126&lt;K126,"No"))),"")</f>
        <v/>
      </c>
      <c r="T126" s="1504" t="str">
        <f t="shared" ref="T126:T157" si="55">IF(AND(C126&lt;&gt;"Vacant",C126&lt;&gt;"Manager",C126&lt;&gt;""),IF(C126="","",IF(H126="Studio",$F$17,IF(H126=1,$G$17,IF(H126=2,$H$17,IF(H126=3,$J$17,IF(H126=4,$K$17,IF(H126=5,$L$17,$M$17))))))),"")</f>
        <v/>
      </c>
      <c r="U126" s="1504" t="str">
        <f t="shared" ref="U126:U157" si="56">IF(AND(C126&lt;&gt;"Vacant",C126&lt;&gt;"",C126&lt;&gt;"Manager"),(IF(T126&gt;=K126,"Yes",IF(T126&lt;K126,"No"))),"")</f>
        <v/>
      </c>
      <c r="V126" s="1503" t="str">
        <f>IF(AND(C126&lt;&gt;"",C126&lt;&gt;"Vacant",C126&lt;&gt;"Manager"),'F-TIV'!O123,"")</f>
        <v/>
      </c>
      <c r="W126" s="1502" t="str">
        <f>IF(AND(C126&lt;&gt;"",C126&lt;&gt;"Vacant",C126&lt;&gt;"Manager"),'F-TIV'!P123,"")</f>
        <v/>
      </c>
      <c r="X126" s="1498" t="str">
        <f t="shared" ref="X126:X157" si="57">IFERROR(IF(AND(C126&lt;&gt;"",C126&lt;&gt;"Vacant",C126&lt;&gt;"Manager",Z126&gt;=0),K126*12/Z126,""),"0.0%")</f>
        <v/>
      </c>
      <c r="Y126" s="1501" t="str">
        <f>IF('F-TIV'!G123&lt;&gt;"",'F-TIV'!G123,"")</f>
        <v/>
      </c>
      <c r="Z126" s="1500" t="str">
        <f>IF(AND(C126&lt;&gt;"",C126&lt;&gt;"Vacant",C126&lt;&gt;"Manager"),'F-TIV'!L123,"")</f>
        <v/>
      </c>
      <c r="AA126" s="1499" t="str">
        <f t="shared" ref="AA126:AA157" si="58">IF(AND(C126&lt;&gt;"Vacant",C126&lt;&gt;"",C126&lt;&gt;"Manager"),IF(C126=0,"",IF(Y126=1,_PER1,IF(Y126=2,_PER2,IF(Y126=3,_PER3,IF(Y126=4,_PER4,IF(Y126=5,_PER5,IF(Y126=6,_PER6,IF(Y126=7,_PER7,_PER8)))))))),"")</f>
        <v/>
      </c>
      <c r="AB126" s="1498" t="str">
        <f t="shared" ref="AB126:AB157" si="59">IFERROR(IF(AND(C126&lt;&gt;"",C126&lt;&gt;"Vacant",C126&lt;&gt;"Manager"),ROUNDDOWN(Z126/AA126,2),""),"0.0%")</f>
        <v/>
      </c>
      <c r="AC126" s="1426"/>
      <c r="AD126" s="1426"/>
      <c r="AE126" s="1426"/>
      <c r="AG126" s="1497"/>
      <c r="AL126" s="1496"/>
      <c r="AN126" s="1496"/>
      <c r="AO126" s="1496"/>
      <c r="AP126" s="1496"/>
      <c r="AQ126" s="1496"/>
      <c r="AR126" s="1496"/>
    </row>
    <row r="127" spans="2:44" s="1442" customFormat="1" ht="11.25" customHeight="1">
      <c r="B127" s="1501" t="str">
        <f t="shared" si="45"/>
        <v>0</v>
      </c>
      <c r="C127" s="1506" t="str">
        <f>IF('F-TIV'!D124&lt;&gt;"",'F-TIV'!D124,"")</f>
        <v/>
      </c>
      <c r="D127" s="1501" t="str">
        <f>IF('F-TIV'!C124&lt;&gt;"",'F-TIV'!C124,"")</f>
        <v/>
      </c>
      <c r="E127" s="1502" t="str">
        <f>IF('F-TIV'!Q124&lt;&gt;"",'F-TIV'!Q124,"")</f>
        <v/>
      </c>
      <c r="F127" s="1502" t="str">
        <f>IF('F-TIV'!R124&lt;&gt;"",'F-TIV'!R124,"")</f>
        <v/>
      </c>
      <c r="G127" s="1505" t="str">
        <f>IF('F-TIV'!S124&lt;&gt;"",'F-TIV'!S124,"")</f>
        <v/>
      </c>
      <c r="H127" s="1501" t="str">
        <f>IF('F-TIV'!F124&lt;&gt;"",'F-TIV'!F124,"")</f>
        <v/>
      </c>
      <c r="I127" s="1500" t="str">
        <f>IF(AND(C127&lt;&gt;"",C127&lt;&gt;"Vacant",C127&lt;&gt;"Manager"),IF('F-TIV'!H124&lt;&gt;"",'F-TIV'!H124,""),"")</f>
        <v/>
      </c>
      <c r="J127" s="1500" t="str">
        <f>IF(AND(C127&lt;&gt;"",C127&lt;&gt;"Vacant",C127&lt;&gt;"Manager"),IF('F-TIV'!J124&lt;&gt;0,'F-TIV'!J124,"$0"),"")</f>
        <v/>
      </c>
      <c r="K127" s="1500" t="str">
        <f t="shared" si="46"/>
        <v/>
      </c>
      <c r="L127" s="1504" t="str">
        <f t="shared" si="47"/>
        <v/>
      </c>
      <c r="M127" s="1504" t="str">
        <f t="shared" si="48"/>
        <v/>
      </c>
      <c r="N127" s="1504" t="str">
        <f t="shared" si="49"/>
        <v/>
      </c>
      <c r="O127" s="1504" t="str">
        <f t="shared" si="50"/>
        <v/>
      </c>
      <c r="P127" s="1504" t="str">
        <f t="shared" si="51"/>
        <v/>
      </c>
      <c r="Q127" s="1504" t="str">
        <f t="shared" si="52"/>
        <v/>
      </c>
      <c r="R127" s="1504" t="str">
        <f t="shared" si="53"/>
        <v/>
      </c>
      <c r="S127" s="1504" t="str">
        <f t="shared" si="54"/>
        <v/>
      </c>
      <c r="T127" s="1504" t="str">
        <f t="shared" si="55"/>
        <v/>
      </c>
      <c r="U127" s="1504" t="str">
        <f t="shared" si="56"/>
        <v/>
      </c>
      <c r="V127" s="1503" t="str">
        <f>IF(AND(C127&lt;&gt;"",C127&lt;&gt;"Vacant",C127&lt;&gt;"Manager"),'F-TIV'!O124,"")</f>
        <v/>
      </c>
      <c r="W127" s="1502" t="str">
        <f>IF(AND(C127&lt;&gt;"",C127&lt;&gt;"Vacant",C127&lt;&gt;"Manager"),'F-TIV'!P124,"")</f>
        <v/>
      </c>
      <c r="X127" s="1498" t="str">
        <f t="shared" si="57"/>
        <v/>
      </c>
      <c r="Y127" s="1501" t="str">
        <f>IF('F-TIV'!G124&lt;&gt;"",'F-TIV'!G124,"")</f>
        <v/>
      </c>
      <c r="Z127" s="1500" t="str">
        <f>IF(AND(C127&lt;&gt;"",C127&lt;&gt;"Vacant",C127&lt;&gt;"Manager"),'F-TIV'!L124,"")</f>
        <v/>
      </c>
      <c r="AA127" s="1499" t="str">
        <f t="shared" si="58"/>
        <v/>
      </c>
      <c r="AB127" s="1498" t="str">
        <f t="shared" si="59"/>
        <v/>
      </c>
      <c r="AC127" s="1426"/>
      <c r="AD127" s="1426"/>
      <c r="AE127" s="1426"/>
      <c r="AG127" s="1497"/>
      <c r="AL127" s="1496"/>
      <c r="AN127" s="1496"/>
      <c r="AO127" s="1496"/>
      <c r="AP127" s="1496"/>
      <c r="AQ127" s="1496"/>
      <c r="AR127" s="1496"/>
    </row>
    <row r="128" spans="2:44" s="1442" customFormat="1" ht="11.25" customHeight="1">
      <c r="B128" s="1501" t="str">
        <f t="shared" si="45"/>
        <v>0</v>
      </c>
      <c r="C128" s="1506" t="str">
        <f>IF('F-TIV'!D125&lt;&gt;"",'F-TIV'!D125,"")</f>
        <v/>
      </c>
      <c r="D128" s="1501" t="str">
        <f>IF('F-TIV'!C125&lt;&gt;"",'F-TIV'!C125,"")</f>
        <v/>
      </c>
      <c r="E128" s="1502" t="str">
        <f>IF('F-TIV'!Q125&lt;&gt;"",'F-TIV'!Q125,"")</f>
        <v/>
      </c>
      <c r="F128" s="1502" t="str">
        <f>IF('F-TIV'!R125&lt;&gt;"",'F-TIV'!R125,"")</f>
        <v/>
      </c>
      <c r="G128" s="1505" t="str">
        <f>IF('F-TIV'!S125&lt;&gt;"",'F-TIV'!S125,"")</f>
        <v/>
      </c>
      <c r="H128" s="1501" t="str">
        <f>IF('F-TIV'!F125&lt;&gt;"",'F-TIV'!F125,"")</f>
        <v/>
      </c>
      <c r="I128" s="1500" t="str">
        <f>IF(AND(C128&lt;&gt;"",C128&lt;&gt;"Vacant",C128&lt;&gt;"Manager"),IF('F-TIV'!H125&lt;&gt;"",'F-TIV'!H125,""),"")</f>
        <v/>
      </c>
      <c r="J128" s="1500" t="str">
        <f>IF(AND(C128&lt;&gt;"",C128&lt;&gt;"Vacant",C128&lt;&gt;"Manager"),IF('F-TIV'!J125&lt;&gt;0,'F-TIV'!J125,"$0"),"")</f>
        <v/>
      </c>
      <c r="K128" s="1500" t="str">
        <f t="shared" si="46"/>
        <v/>
      </c>
      <c r="L128" s="1504" t="str">
        <f t="shared" si="47"/>
        <v/>
      </c>
      <c r="M128" s="1504" t="str">
        <f t="shared" si="48"/>
        <v/>
      </c>
      <c r="N128" s="1504" t="str">
        <f t="shared" si="49"/>
        <v/>
      </c>
      <c r="O128" s="1504" t="str">
        <f t="shared" si="50"/>
        <v/>
      </c>
      <c r="P128" s="1504" t="str">
        <f t="shared" si="51"/>
        <v/>
      </c>
      <c r="Q128" s="1504" t="str">
        <f t="shared" si="52"/>
        <v/>
      </c>
      <c r="R128" s="1504" t="str">
        <f t="shared" si="53"/>
        <v/>
      </c>
      <c r="S128" s="1504" t="str">
        <f t="shared" si="54"/>
        <v/>
      </c>
      <c r="T128" s="1504" t="str">
        <f t="shared" si="55"/>
        <v/>
      </c>
      <c r="U128" s="1504" t="str">
        <f t="shared" si="56"/>
        <v/>
      </c>
      <c r="V128" s="1503" t="str">
        <f>IF(AND(C128&lt;&gt;"",C128&lt;&gt;"Vacant",C128&lt;&gt;"Manager"),'F-TIV'!O125,"")</f>
        <v/>
      </c>
      <c r="W128" s="1502" t="str">
        <f>IF(AND(C128&lt;&gt;"",C128&lt;&gt;"Vacant",C128&lt;&gt;"Manager"),'F-TIV'!P125,"")</f>
        <v/>
      </c>
      <c r="X128" s="1498" t="str">
        <f t="shared" si="57"/>
        <v/>
      </c>
      <c r="Y128" s="1501" t="str">
        <f>IF('F-TIV'!G125&lt;&gt;"",'F-TIV'!G125,"")</f>
        <v/>
      </c>
      <c r="Z128" s="1500" t="str">
        <f>IF(AND(C128&lt;&gt;"",C128&lt;&gt;"Vacant",C128&lt;&gt;"Manager"),'F-TIV'!L125,"")</f>
        <v/>
      </c>
      <c r="AA128" s="1499" t="str">
        <f t="shared" si="58"/>
        <v/>
      </c>
      <c r="AB128" s="1498" t="str">
        <f t="shared" si="59"/>
        <v/>
      </c>
      <c r="AC128" s="1426"/>
      <c r="AD128" s="1426"/>
      <c r="AE128" s="1426"/>
      <c r="AG128" s="1497"/>
      <c r="AL128" s="1496"/>
      <c r="AN128" s="1496"/>
      <c r="AO128" s="1496"/>
      <c r="AP128" s="1496"/>
      <c r="AQ128" s="1496"/>
      <c r="AR128" s="1496"/>
    </row>
    <row r="129" spans="2:44" s="1442" customFormat="1" ht="11.25" customHeight="1">
      <c r="B129" s="1501" t="str">
        <f t="shared" si="45"/>
        <v>0</v>
      </c>
      <c r="C129" s="1506" t="str">
        <f>IF('F-TIV'!D126&lt;&gt;"",'F-TIV'!D126,"")</f>
        <v/>
      </c>
      <c r="D129" s="1501" t="str">
        <f>IF('F-TIV'!C126&lt;&gt;"",'F-TIV'!C126,"")</f>
        <v/>
      </c>
      <c r="E129" s="1502" t="str">
        <f>IF('F-TIV'!Q126&lt;&gt;"",'F-TIV'!Q126,"")</f>
        <v/>
      </c>
      <c r="F129" s="1502" t="str">
        <f>IF('F-TIV'!R126&lt;&gt;"",'F-TIV'!R126,"")</f>
        <v/>
      </c>
      <c r="G129" s="1505" t="str">
        <f>IF('F-TIV'!S126&lt;&gt;"",'F-TIV'!S126,"")</f>
        <v/>
      </c>
      <c r="H129" s="1501" t="str">
        <f>IF('F-TIV'!F126&lt;&gt;"",'F-TIV'!F126,"")</f>
        <v/>
      </c>
      <c r="I129" s="1500" t="str">
        <f>IF(AND(C129&lt;&gt;"",C129&lt;&gt;"Vacant",C129&lt;&gt;"Manager"),IF('F-TIV'!H126&lt;&gt;"",'F-TIV'!H126,""),"")</f>
        <v/>
      </c>
      <c r="J129" s="1500" t="str">
        <f>IF(AND(C129&lt;&gt;"",C129&lt;&gt;"Vacant",C129&lt;&gt;"Manager"),IF('F-TIV'!J126&lt;&gt;0,'F-TIV'!J126,"$0"),"")</f>
        <v/>
      </c>
      <c r="K129" s="1500" t="str">
        <f t="shared" si="46"/>
        <v/>
      </c>
      <c r="L129" s="1504" t="str">
        <f t="shared" si="47"/>
        <v/>
      </c>
      <c r="M129" s="1504" t="str">
        <f t="shared" si="48"/>
        <v/>
      </c>
      <c r="N129" s="1504" t="str">
        <f t="shared" si="49"/>
        <v/>
      </c>
      <c r="O129" s="1504" t="str">
        <f t="shared" si="50"/>
        <v/>
      </c>
      <c r="P129" s="1504" t="str">
        <f t="shared" si="51"/>
        <v/>
      </c>
      <c r="Q129" s="1504" t="str">
        <f t="shared" si="52"/>
        <v/>
      </c>
      <c r="R129" s="1504" t="str">
        <f t="shared" si="53"/>
        <v/>
      </c>
      <c r="S129" s="1504" t="str">
        <f t="shared" si="54"/>
        <v/>
      </c>
      <c r="T129" s="1504" t="str">
        <f t="shared" si="55"/>
        <v/>
      </c>
      <c r="U129" s="1504" t="str">
        <f t="shared" si="56"/>
        <v/>
      </c>
      <c r="V129" s="1503" t="str">
        <f>IF(AND(C129&lt;&gt;"",C129&lt;&gt;"Vacant",C129&lt;&gt;"Manager"),'F-TIV'!O126,"")</f>
        <v/>
      </c>
      <c r="W129" s="1502" t="str">
        <f>IF(AND(C129&lt;&gt;"",C129&lt;&gt;"Vacant",C129&lt;&gt;"Manager"),'F-TIV'!P126,"")</f>
        <v/>
      </c>
      <c r="X129" s="1498" t="str">
        <f t="shared" si="57"/>
        <v/>
      </c>
      <c r="Y129" s="1501" t="str">
        <f>IF('F-TIV'!G126&lt;&gt;"",'F-TIV'!G126,"")</f>
        <v/>
      </c>
      <c r="Z129" s="1500" t="str">
        <f>IF(AND(C129&lt;&gt;"",C129&lt;&gt;"Vacant",C129&lt;&gt;"Manager"),'F-TIV'!L126,"")</f>
        <v/>
      </c>
      <c r="AA129" s="1499" t="str">
        <f t="shared" si="58"/>
        <v/>
      </c>
      <c r="AB129" s="1498" t="str">
        <f t="shared" si="59"/>
        <v/>
      </c>
      <c r="AC129" s="1426"/>
      <c r="AD129" s="1426"/>
      <c r="AE129" s="1426"/>
      <c r="AG129" s="1497"/>
      <c r="AL129" s="1496"/>
      <c r="AN129" s="1496"/>
      <c r="AO129" s="1496"/>
      <c r="AP129" s="1496"/>
      <c r="AQ129" s="1496"/>
      <c r="AR129" s="1496"/>
    </row>
    <row r="130" spans="2:44" s="1442" customFormat="1" ht="11.25" customHeight="1">
      <c r="B130" s="1501" t="str">
        <f t="shared" si="45"/>
        <v>0</v>
      </c>
      <c r="C130" s="1506" t="str">
        <f>IF('F-TIV'!D127&lt;&gt;"",'F-TIV'!D127,"")</f>
        <v/>
      </c>
      <c r="D130" s="1501" t="str">
        <f>IF('F-TIV'!C127&lt;&gt;"",'F-TIV'!C127,"")</f>
        <v/>
      </c>
      <c r="E130" s="1502" t="str">
        <f>IF('F-TIV'!Q127&lt;&gt;"",'F-TIV'!Q127,"")</f>
        <v/>
      </c>
      <c r="F130" s="1502" t="str">
        <f>IF('F-TIV'!R127&lt;&gt;"",'F-TIV'!R127,"")</f>
        <v/>
      </c>
      <c r="G130" s="1505" t="str">
        <f>IF('F-TIV'!S127&lt;&gt;"",'F-TIV'!S127,"")</f>
        <v/>
      </c>
      <c r="H130" s="1501" t="str">
        <f>IF('F-TIV'!F127&lt;&gt;"",'F-TIV'!F127,"")</f>
        <v/>
      </c>
      <c r="I130" s="1500" t="str">
        <f>IF(AND(C130&lt;&gt;"",C130&lt;&gt;"Vacant",C130&lt;&gt;"Manager"),IF('F-TIV'!H127&lt;&gt;"",'F-TIV'!H127,""),"")</f>
        <v/>
      </c>
      <c r="J130" s="1500" t="str">
        <f>IF(AND(C130&lt;&gt;"",C130&lt;&gt;"Vacant",C130&lt;&gt;"Manager"),IF('F-TIV'!J127&lt;&gt;0,'F-TIV'!J127,"$0"),"")</f>
        <v/>
      </c>
      <c r="K130" s="1500" t="str">
        <f t="shared" si="46"/>
        <v/>
      </c>
      <c r="L130" s="1504" t="str">
        <f t="shared" si="47"/>
        <v/>
      </c>
      <c r="M130" s="1504" t="str">
        <f t="shared" si="48"/>
        <v/>
      </c>
      <c r="N130" s="1504" t="str">
        <f t="shared" si="49"/>
        <v/>
      </c>
      <c r="O130" s="1504" t="str">
        <f t="shared" si="50"/>
        <v/>
      </c>
      <c r="P130" s="1504" t="str">
        <f t="shared" si="51"/>
        <v/>
      </c>
      <c r="Q130" s="1504" t="str">
        <f t="shared" si="52"/>
        <v/>
      </c>
      <c r="R130" s="1504" t="str">
        <f t="shared" si="53"/>
        <v/>
      </c>
      <c r="S130" s="1504" t="str">
        <f t="shared" si="54"/>
        <v/>
      </c>
      <c r="T130" s="1504" t="str">
        <f t="shared" si="55"/>
        <v/>
      </c>
      <c r="U130" s="1504" t="str">
        <f t="shared" si="56"/>
        <v/>
      </c>
      <c r="V130" s="1503" t="str">
        <f>IF(AND(C130&lt;&gt;"",C130&lt;&gt;"Vacant",C130&lt;&gt;"Manager"),'F-TIV'!O127,"")</f>
        <v/>
      </c>
      <c r="W130" s="1502" t="str">
        <f>IF(AND(C130&lt;&gt;"",C130&lt;&gt;"Vacant",C130&lt;&gt;"Manager"),'F-TIV'!P127,"")</f>
        <v/>
      </c>
      <c r="X130" s="1498" t="str">
        <f t="shared" si="57"/>
        <v/>
      </c>
      <c r="Y130" s="1501" t="str">
        <f>IF('F-TIV'!G127&lt;&gt;"",'F-TIV'!G127,"")</f>
        <v/>
      </c>
      <c r="Z130" s="1500" t="str">
        <f>IF(AND(C130&lt;&gt;"",C130&lt;&gt;"Vacant",C130&lt;&gt;"Manager"),'F-TIV'!L127,"")</f>
        <v/>
      </c>
      <c r="AA130" s="1499" t="str">
        <f t="shared" si="58"/>
        <v/>
      </c>
      <c r="AB130" s="1498" t="str">
        <f t="shared" si="59"/>
        <v/>
      </c>
      <c r="AC130" s="1426"/>
      <c r="AD130" s="1426"/>
      <c r="AE130" s="1426"/>
      <c r="AG130" s="1497"/>
      <c r="AL130" s="1496"/>
      <c r="AN130" s="1496"/>
      <c r="AO130" s="1496"/>
      <c r="AP130" s="1496"/>
      <c r="AQ130" s="1496"/>
      <c r="AR130" s="1496"/>
    </row>
    <row r="131" spans="2:44" s="1442" customFormat="1" ht="11.25" customHeight="1">
      <c r="B131" s="1501" t="str">
        <f t="shared" si="45"/>
        <v>0</v>
      </c>
      <c r="C131" s="1506" t="str">
        <f>IF('F-TIV'!D128&lt;&gt;"",'F-TIV'!D128,"")</f>
        <v/>
      </c>
      <c r="D131" s="1501" t="str">
        <f>IF('F-TIV'!C128&lt;&gt;"",'F-TIV'!C128,"")</f>
        <v/>
      </c>
      <c r="E131" s="1502" t="str">
        <f>IF('F-TIV'!Q128&lt;&gt;"",'F-TIV'!Q128,"")</f>
        <v/>
      </c>
      <c r="F131" s="1502" t="str">
        <f>IF('F-TIV'!R128&lt;&gt;"",'F-TIV'!R128,"")</f>
        <v/>
      </c>
      <c r="G131" s="1505" t="str">
        <f>IF('F-TIV'!S128&lt;&gt;"",'F-TIV'!S128,"")</f>
        <v/>
      </c>
      <c r="H131" s="1501" t="str">
        <f>IF('F-TIV'!F128&lt;&gt;"",'F-TIV'!F128,"")</f>
        <v/>
      </c>
      <c r="I131" s="1500" t="str">
        <f>IF(AND(C131&lt;&gt;"",C131&lt;&gt;"Vacant",C131&lt;&gt;"Manager"),IF('F-TIV'!H128&lt;&gt;"",'F-TIV'!H128,""),"")</f>
        <v/>
      </c>
      <c r="J131" s="1500" t="str">
        <f>IF(AND(C131&lt;&gt;"",C131&lt;&gt;"Vacant",C131&lt;&gt;"Manager"),IF('F-TIV'!J128&lt;&gt;0,'F-TIV'!J128,"$0"),"")</f>
        <v/>
      </c>
      <c r="K131" s="1500" t="str">
        <f t="shared" si="46"/>
        <v/>
      </c>
      <c r="L131" s="1504" t="str">
        <f t="shared" si="47"/>
        <v/>
      </c>
      <c r="M131" s="1504" t="str">
        <f t="shared" si="48"/>
        <v/>
      </c>
      <c r="N131" s="1504" t="str">
        <f t="shared" si="49"/>
        <v/>
      </c>
      <c r="O131" s="1504" t="str">
        <f t="shared" si="50"/>
        <v/>
      </c>
      <c r="P131" s="1504" t="str">
        <f t="shared" si="51"/>
        <v/>
      </c>
      <c r="Q131" s="1504" t="str">
        <f t="shared" si="52"/>
        <v/>
      </c>
      <c r="R131" s="1504" t="str">
        <f t="shared" si="53"/>
        <v/>
      </c>
      <c r="S131" s="1504" t="str">
        <f t="shared" si="54"/>
        <v/>
      </c>
      <c r="T131" s="1504" t="str">
        <f t="shared" si="55"/>
        <v/>
      </c>
      <c r="U131" s="1504" t="str">
        <f t="shared" si="56"/>
        <v/>
      </c>
      <c r="V131" s="1503" t="str">
        <f>IF(AND(C131&lt;&gt;"",C131&lt;&gt;"Vacant",C131&lt;&gt;"Manager"),'F-TIV'!O128,"")</f>
        <v/>
      </c>
      <c r="W131" s="1502" t="str">
        <f>IF(AND(C131&lt;&gt;"",C131&lt;&gt;"Vacant",C131&lt;&gt;"Manager"),'F-TIV'!P128,"")</f>
        <v/>
      </c>
      <c r="X131" s="1498" t="str">
        <f t="shared" si="57"/>
        <v/>
      </c>
      <c r="Y131" s="1501" t="str">
        <f>IF('F-TIV'!G128&lt;&gt;"",'F-TIV'!G128,"")</f>
        <v/>
      </c>
      <c r="Z131" s="1500" t="str">
        <f>IF(AND(C131&lt;&gt;"",C131&lt;&gt;"Vacant",C131&lt;&gt;"Manager"),'F-TIV'!L128,"")</f>
        <v/>
      </c>
      <c r="AA131" s="1499" t="str">
        <f t="shared" si="58"/>
        <v/>
      </c>
      <c r="AB131" s="1498" t="str">
        <f t="shared" si="59"/>
        <v/>
      </c>
      <c r="AC131" s="1426"/>
      <c r="AD131" s="1426"/>
      <c r="AE131" s="1426"/>
      <c r="AG131" s="1497"/>
      <c r="AL131" s="1496"/>
      <c r="AN131" s="1496"/>
      <c r="AO131" s="1496"/>
      <c r="AP131" s="1496"/>
      <c r="AQ131" s="1496"/>
      <c r="AR131" s="1496"/>
    </row>
    <row r="132" spans="2:44" s="1442" customFormat="1" ht="11.25" customHeight="1">
      <c r="B132" s="1501" t="str">
        <f t="shared" si="45"/>
        <v>0</v>
      </c>
      <c r="C132" s="1506" t="str">
        <f>IF('F-TIV'!D129&lt;&gt;"",'F-TIV'!D129,"")</f>
        <v/>
      </c>
      <c r="D132" s="1501" t="str">
        <f>IF('F-TIV'!C129&lt;&gt;"",'F-TIV'!C129,"")</f>
        <v/>
      </c>
      <c r="E132" s="1502" t="str">
        <f>IF('F-TIV'!Q129&lt;&gt;"",'F-TIV'!Q129,"")</f>
        <v/>
      </c>
      <c r="F132" s="1502" t="str">
        <f>IF('F-TIV'!R129&lt;&gt;"",'F-TIV'!R129,"")</f>
        <v/>
      </c>
      <c r="G132" s="1505" t="str">
        <f>IF('F-TIV'!S129&lt;&gt;"",'F-TIV'!S129,"")</f>
        <v/>
      </c>
      <c r="H132" s="1501" t="str">
        <f>IF('F-TIV'!F129&lt;&gt;"",'F-TIV'!F129,"")</f>
        <v/>
      </c>
      <c r="I132" s="1500" t="str">
        <f>IF(AND(C132&lt;&gt;"",C132&lt;&gt;"Vacant",C132&lt;&gt;"Manager"),IF('F-TIV'!H129&lt;&gt;"",'F-TIV'!H129,""),"")</f>
        <v/>
      </c>
      <c r="J132" s="1500" t="str">
        <f>IF(AND(C132&lt;&gt;"",C132&lt;&gt;"Vacant",C132&lt;&gt;"Manager"),IF('F-TIV'!J129&lt;&gt;0,'F-TIV'!J129,"$0"),"")</f>
        <v/>
      </c>
      <c r="K132" s="1500" t="str">
        <f t="shared" si="46"/>
        <v/>
      </c>
      <c r="L132" s="1504" t="str">
        <f t="shared" si="47"/>
        <v/>
      </c>
      <c r="M132" s="1504" t="str">
        <f t="shared" si="48"/>
        <v/>
      </c>
      <c r="N132" s="1504" t="str">
        <f t="shared" si="49"/>
        <v/>
      </c>
      <c r="O132" s="1504" t="str">
        <f t="shared" si="50"/>
        <v/>
      </c>
      <c r="P132" s="1504" t="str">
        <f t="shared" si="51"/>
        <v/>
      </c>
      <c r="Q132" s="1504" t="str">
        <f t="shared" si="52"/>
        <v/>
      </c>
      <c r="R132" s="1504" t="str">
        <f t="shared" si="53"/>
        <v/>
      </c>
      <c r="S132" s="1504" t="str">
        <f t="shared" si="54"/>
        <v/>
      </c>
      <c r="T132" s="1504" t="str">
        <f t="shared" si="55"/>
        <v/>
      </c>
      <c r="U132" s="1504" t="str">
        <f t="shared" si="56"/>
        <v/>
      </c>
      <c r="V132" s="1503" t="str">
        <f>IF(AND(C132&lt;&gt;"",C132&lt;&gt;"Vacant",C132&lt;&gt;"Manager"),'F-TIV'!O129,"")</f>
        <v/>
      </c>
      <c r="W132" s="1502" t="str">
        <f>IF(AND(C132&lt;&gt;"",C132&lt;&gt;"Vacant",C132&lt;&gt;"Manager"),'F-TIV'!P129,"")</f>
        <v/>
      </c>
      <c r="X132" s="1498" t="str">
        <f t="shared" si="57"/>
        <v/>
      </c>
      <c r="Y132" s="1501" t="str">
        <f>IF('F-TIV'!G129&lt;&gt;"",'F-TIV'!G129,"")</f>
        <v/>
      </c>
      <c r="Z132" s="1500" t="str">
        <f>IF(AND(C132&lt;&gt;"",C132&lt;&gt;"Vacant",C132&lt;&gt;"Manager"),'F-TIV'!L129,"")</f>
        <v/>
      </c>
      <c r="AA132" s="1499" t="str">
        <f t="shared" si="58"/>
        <v/>
      </c>
      <c r="AB132" s="1498" t="str">
        <f t="shared" si="59"/>
        <v/>
      </c>
      <c r="AC132" s="1426"/>
      <c r="AD132" s="1426"/>
      <c r="AE132" s="1426"/>
      <c r="AG132" s="1497"/>
      <c r="AL132" s="1496"/>
      <c r="AN132" s="1496"/>
      <c r="AO132" s="1496"/>
      <c r="AP132" s="1496"/>
      <c r="AQ132" s="1496"/>
      <c r="AR132" s="1496"/>
    </row>
    <row r="133" spans="2:44" s="1442" customFormat="1" ht="11.25" customHeight="1">
      <c r="B133" s="1501" t="str">
        <f t="shared" si="45"/>
        <v>0</v>
      </c>
      <c r="C133" s="1506" t="str">
        <f>IF('F-TIV'!D130&lt;&gt;"",'F-TIV'!D130,"")</f>
        <v/>
      </c>
      <c r="D133" s="1501" t="str">
        <f>IF('F-TIV'!C130&lt;&gt;"",'F-TIV'!C130,"")</f>
        <v/>
      </c>
      <c r="E133" s="1502" t="str">
        <f>IF('F-TIV'!Q130&lt;&gt;"",'F-TIV'!Q130,"")</f>
        <v/>
      </c>
      <c r="F133" s="1502" t="str">
        <f>IF('F-TIV'!R130&lt;&gt;"",'F-TIV'!R130,"")</f>
        <v/>
      </c>
      <c r="G133" s="1505" t="str">
        <f>IF('F-TIV'!S130&lt;&gt;"",'F-TIV'!S130,"")</f>
        <v/>
      </c>
      <c r="H133" s="1501" t="str">
        <f>IF('F-TIV'!F130&lt;&gt;"",'F-TIV'!F130,"")</f>
        <v/>
      </c>
      <c r="I133" s="1500" t="str">
        <f>IF(AND(C133&lt;&gt;"",C133&lt;&gt;"Vacant",C133&lt;&gt;"Manager"),IF('F-TIV'!H130&lt;&gt;"",'F-TIV'!H130,""),"")</f>
        <v/>
      </c>
      <c r="J133" s="1500" t="str">
        <f>IF(AND(C133&lt;&gt;"",C133&lt;&gt;"Vacant",C133&lt;&gt;"Manager"),IF('F-TIV'!J130&lt;&gt;0,'F-TIV'!J130,"$0"),"")</f>
        <v/>
      </c>
      <c r="K133" s="1500" t="str">
        <f t="shared" si="46"/>
        <v/>
      </c>
      <c r="L133" s="1504" t="str">
        <f t="shared" si="47"/>
        <v/>
      </c>
      <c r="M133" s="1504" t="str">
        <f t="shared" si="48"/>
        <v/>
      </c>
      <c r="N133" s="1504" t="str">
        <f t="shared" si="49"/>
        <v/>
      </c>
      <c r="O133" s="1504" t="str">
        <f t="shared" si="50"/>
        <v/>
      </c>
      <c r="P133" s="1504" t="str">
        <f t="shared" si="51"/>
        <v/>
      </c>
      <c r="Q133" s="1504" t="str">
        <f t="shared" si="52"/>
        <v/>
      </c>
      <c r="R133" s="1504" t="str">
        <f t="shared" si="53"/>
        <v/>
      </c>
      <c r="S133" s="1504" t="str">
        <f t="shared" si="54"/>
        <v/>
      </c>
      <c r="T133" s="1504" t="str">
        <f t="shared" si="55"/>
        <v/>
      </c>
      <c r="U133" s="1504" t="str">
        <f t="shared" si="56"/>
        <v/>
      </c>
      <c r="V133" s="1503" t="str">
        <f>IF(AND(C133&lt;&gt;"",C133&lt;&gt;"Vacant",C133&lt;&gt;"Manager"),'F-TIV'!O130,"")</f>
        <v/>
      </c>
      <c r="W133" s="1502" t="str">
        <f>IF(AND(C133&lt;&gt;"",C133&lt;&gt;"Vacant",C133&lt;&gt;"Manager"),'F-TIV'!P130,"")</f>
        <v/>
      </c>
      <c r="X133" s="1498" t="str">
        <f t="shared" si="57"/>
        <v/>
      </c>
      <c r="Y133" s="1501" t="str">
        <f>IF('F-TIV'!G130&lt;&gt;"",'F-TIV'!G130,"")</f>
        <v/>
      </c>
      <c r="Z133" s="1500" t="str">
        <f>IF(AND(C133&lt;&gt;"",C133&lt;&gt;"Vacant",C133&lt;&gt;"Manager"),'F-TIV'!L130,"")</f>
        <v/>
      </c>
      <c r="AA133" s="1499" t="str">
        <f t="shared" si="58"/>
        <v/>
      </c>
      <c r="AB133" s="1498" t="str">
        <f t="shared" si="59"/>
        <v/>
      </c>
      <c r="AC133" s="1426"/>
      <c r="AD133" s="1426"/>
      <c r="AE133" s="1426"/>
      <c r="AG133" s="1497"/>
      <c r="AL133" s="1496"/>
      <c r="AN133" s="1496"/>
      <c r="AO133" s="1496"/>
      <c r="AP133" s="1496"/>
      <c r="AQ133" s="1496"/>
      <c r="AR133" s="1496"/>
    </row>
    <row r="134" spans="2:44" s="1442" customFormat="1" ht="11.25" customHeight="1">
      <c r="B134" s="1501" t="str">
        <f t="shared" si="45"/>
        <v>0</v>
      </c>
      <c r="C134" s="1506" t="str">
        <f>IF('F-TIV'!D131&lt;&gt;"",'F-TIV'!D131,"")</f>
        <v/>
      </c>
      <c r="D134" s="1501" t="str">
        <f>IF('F-TIV'!C131&lt;&gt;"",'F-TIV'!C131,"")</f>
        <v/>
      </c>
      <c r="E134" s="1502" t="str">
        <f>IF('F-TIV'!Q131&lt;&gt;"",'F-TIV'!Q131,"")</f>
        <v/>
      </c>
      <c r="F134" s="1502" t="str">
        <f>IF('F-TIV'!R131&lt;&gt;"",'F-TIV'!R131,"")</f>
        <v/>
      </c>
      <c r="G134" s="1505" t="str">
        <f>IF('F-TIV'!S131&lt;&gt;"",'F-TIV'!S131,"")</f>
        <v/>
      </c>
      <c r="H134" s="1501" t="str">
        <f>IF('F-TIV'!F131&lt;&gt;"",'F-TIV'!F131,"")</f>
        <v/>
      </c>
      <c r="I134" s="1500" t="str">
        <f>IF(AND(C134&lt;&gt;"",C134&lt;&gt;"Vacant",C134&lt;&gt;"Manager"),IF('F-TIV'!H131&lt;&gt;"",'F-TIV'!H131,""),"")</f>
        <v/>
      </c>
      <c r="J134" s="1500" t="str">
        <f>IF(AND(C134&lt;&gt;"",C134&lt;&gt;"Vacant",C134&lt;&gt;"Manager"),IF('F-TIV'!J131&lt;&gt;0,'F-TIV'!J131,"$0"),"")</f>
        <v/>
      </c>
      <c r="K134" s="1500" t="str">
        <f t="shared" si="46"/>
        <v/>
      </c>
      <c r="L134" s="1504" t="str">
        <f t="shared" si="47"/>
        <v/>
      </c>
      <c r="M134" s="1504" t="str">
        <f t="shared" si="48"/>
        <v/>
      </c>
      <c r="N134" s="1504" t="str">
        <f t="shared" si="49"/>
        <v/>
      </c>
      <c r="O134" s="1504" t="str">
        <f t="shared" si="50"/>
        <v/>
      </c>
      <c r="P134" s="1504" t="str">
        <f t="shared" si="51"/>
        <v/>
      </c>
      <c r="Q134" s="1504" t="str">
        <f t="shared" si="52"/>
        <v/>
      </c>
      <c r="R134" s="1504" t="str">
        <f t="shared" si="53"/>
        <v/>
      </c>
      <c r="S134" s="1504" t="str">
        <f t="shared" si="54"/>
        <v/>
      </c>
      <c r="T134" s="1504" t="str">
        <f t="shared" si="55"/>
        <v/>
      </c>
      <c r="U134" s="1504" t="str">
        <f t="shared" si="56"/>
        <v/>
      </c>
      <c r="V134" s="1503" t="str">
        <f>IF(AND(C134&lt;&gt;"",C134&lt;&gt;"Vacant",C134&lt;&gt;"Manager"),'F-TIV'!O131,"")</f>
        <v/>
      </c>
      <c r="W134" s="1502" t="str">
        <f>IF(AND(C134&lt;&gt;"",C134&lt;&gt;"Vacant",C134&lt;&gt;"Manager"),'F-TIV'!P131,"")</f>
        <v/>
      </c>
      <c r="X134" s="1498" t="str">
        <f t="shared" si="57"/>
        <v/>
      </c>
      <c r="Y134" s="1501" t="str">
        <f>IF('F-TIV'!G131&lt;&gt;"",'F-TIV'!G131,"")</f>
        <v/>
      </c>
      <c r="Z134" s="1500" t="str">
        <f>IF(AND(C134&lt;&gt;"",C134&lt;&gt;"Vacant",C134&lt;&gt;"Manager"),'F-TIV'!L131,"")</f>
        <v/>
      </c>
      <c r="AA134" s="1499" t="str">
        <f t="shared" si="58"/>
        <v/>
      </c>
      <c r="AB134" s="1498" t="str">
        <f t="shared" si="59"/>
        <v/>
      </c>
      <c r="AC134" s="1426"/>
      <c r="AD134" s="1426"/>
      <c r="AE134" s="1426"/>
      <c r="AG134" s="1497"/>
      <c r="AL134" s="1496"/>
      <c r="AN134" s="1496"/>
      <c r="AO134" s="1496"/>
      <c r="AP134" s="1496"/>
      <c r="AQ134" s="1496"/>
      <c r="AR134" s="1496"/>
    </row>
    <row r="135" spans="2:44" s="1442" customFormat="1" ht="11.25" customHeight="1">
      <c r="B135" s="1501" t="str">
        <f t="shared" si="45"/>
        <v>0</v>
      </c>
      <c r="C135" s="1506" t="str">
        <f>IF('F-TIV'!D132&lt;&gt;"",'F-TIV'!D132,"")</f>
        <v/>
      </c>
      <c r="D135" s="1501" t="str">
        <f>IF('F-TIV'!C132&lt;&gt;"",'F-TIV'!C132,"")</f>
        <v/>
      </c>
      <c r="E135" s="1502" t="str">
        <f>IF('F-TIV'!Q132&lt;&gt;"",'F-TIV'!Q132,"")</f>
        <v/>
      </c>
      <c r="F135" s="1502" t="str">
        <f>IF('F-TIV'!R132&lt;&gt;"",'F-TIV'!R132,"")</f>
        <v/>
      </c>
      <c r="G135" s="1505" t="str">
        <f>IF('F-TIV'!S132&lt;&gt;"",'F-TIV'!S132,"")</f>
        <v/>
      </c>
      <c r="H135" s="1501" t="str">
        <f>IF('F-TIV'!F132&lt;&gt;"",'F-TIV'!F132,"")</f>
        <v/>
      </c>
      <c r="I135" s="1500" t="str">
        <f>IF(AND(C135&lt;&gt;"",C135&lt;&gt;"Vacant",C135&lt;&gt;"Manager"),IF('F-TIV'!H132&lt;&gt;"",'F-TIV'!H132,""),"")</f>
        <v/>
      </c>
      <c r="J135" s="1500" t="str">
        <f>IF(AND(C135&lt;&gt;"",C135&lt;&gt;"Vacant",C135&lt;&gt;"Manager"),IF('F-TIV'!J132&lt;&gt;0,'F-TIV'!J132,"$0"),"")</f>
        <v/>
      </c>
      <c r="K135" s="1500" t="str">
        <f t="shared" si="46"/>
        <v/>
      </c>
      <c r="L135" s="1504" t="str">
        <f t="shared" si="47"/>
        <v/>
      </c>
      <c r="M135" s="1504" t="str">
        <f t="shared" si="48"/>
        <v/>
      </c>
      <c r="N135" s="1504" t="str">
        <f t="shared" si="49"/>
        <v/>
      </c>
      <c r="O135" s="1504" t="str">
        <f t="shared" si="50"/>
        <v/>
      </c>
      <c r="P135" s="1504" t="str">
        <f t="shared" si="51"/>
        <v/>
      </c>
      <c r="Q135" s="1504" t="str">
        <f t="shared" si="52"/>
        <v/>
      </c>
      <c r="R135" s="1504" t="str">
        <f t="shared" si="53"/>
        <v/>
      </c>
      <c r="S135" s="1504" t="str">
        <f t="shared" si="54"/>
        <v/>
      </c>
      <c r="T135" s="1504" t="str">
        <f t="shared" si="55"/>
        <v/>
      </c>
      <c r="U135" s="1504" t="str">
        <f t="shared" si="56"/>
        <v/>
      </c>
      <c r="V135" s="1503" t="str">
        <f>IF(AND(C135&lt;&gt;"",C135&lt;&gt;"Vacant",C135&lt;&gt;"Manager"),'F-TIV'!O132,"")</f>
        <v/>
      </c>
      <c r="W135" s="1502" t="str">
        <f>IF(AND(C135&lt;&gt;"",C135&lt;&gt;"Vacant",C135&lt;&gt;"Manager"),'F-TIV'!P132,"")</f>
        <v/>
      </c>
      <c r="X135" s="1498" t="str">
        <f t="shared" si="57"/>
        <v/>
      </c>
      <c r="Y135" s="1501" t="str">
        <f>IF('F-TIV'!G132&lt;&gt;"",'F-TIV'!G132,"")</f>
        <v/>
      </c>
      <c r="Z135" s="1500" t="str">
        <f>IF(AND(C135&lt;&gt;"",C135&lt;&gt;"Vacant",C135&lt;&gt;"Manager"),'F-TIV'!L132,"")</f>
        <v/>
      </c>
      <c r="AA135" s="1499" t="str">
        <f t="shared" si="58"/>
        <v/>
      </c>
      <c r="AB135" s="1498" t="str">
        <f t="shared" si="59"/>
        <v/>
      </c>
      <c r="AC135" s="1426"/>
      <c r="AD135" s="1426"/>
      <c r="AE135" s="1426"/>
      <c r="AG135" s="1497"/>
      <c r="AL135" s="1496"/>
      <c r="AN135" s="1496"/>
      <c r="AO135" s="1496"/>
      <c r="AP135" s="1496"/>
      <c r="AQ135" s="1496"/>
      <c r="AR135" s="1496"/>
    </row>
    <row r="136" spans="2:44" s="1442" customFormat="1" ht="11.25" customHeight="1">
      <c r="B136" s="1501" t="str">
        <f t="shared" si="45"/>
        <v>0</v>
      </c>
      <c r="C136" s="1506" t="str">
        <f>IF('F-TIV'!D133&lt;&gt;"",'F-TIV'!D133,"")</f>
        <v/>
      </c>
      <c r="D136" s="1501" t="str">
        <f>IF('F-TIV'!C133&lt;&gt;"",'F-TIV'!C133,"")</f>
        <v/>
      </c>
      <c r="E136" s="1502" t="str">
        <f>IF('F-TIV'!Q133&lt;&gt;"",'F-TIV'!Q133,"")</f>
        <v/>
      </c>
      <c r="F136" s="1502" t="str">
        <f>IF('F-TIV'!R133&lt;&gt;"",'F-TIV'!R133,"")</f>
        <v/>
      </c>
      <c r="G136" s="1505" t="str">
        <f>IF('F-TIV'!S133&lt;&gt;"",'F-TIV'!S133,"")</f>
        <v/>
      </c>
      <c r="H136" s="1501" t="str">
        <f>IF('F-TIV'!F133&lt;&gt;"",'F-TIV'!F133,"")</f>
        <v/>
      </c>
      <c r="I136" s="1500" t="str">
        <f>IF(AND(C136&lt;&gt;"",C136&lt;&gt;"Vacant",C136&lt;&gt;"Manager"),IF('F-TIV'!H133&lt;&gt;"",'F-TIV'!H133,""),"")</f>
        <v/>
      </c>
      <c r="J136" s="1500" t="str">
        <f>IF(AND(C136&lt;&gt;"",C136&lt;&gt;"Vacant",C136&lt;&gt;"Manager"),IF('F-TIV'!J133&lt;&gt;0,'F-TIV'!J133,"$0"),"")</f>
        <v/>
      </c>
      <c r="K136" s="1500" t="str">
        <f t="shared" si="46"/>
        <v/>
      </c>
      <c r="L136" s="1504" t="str">
        <f t="shared" si="47"/>
        <v/>
      </c>
      <c r="M136" s="1504" t="str">
        <f t="shared" si="48"/>
        <v/>
      </c>
      <c r="N136" s="1504" t="str">
        <f t="shared" si="49"/>
        <v/>
      </c>
      <c r="O136" s="1504" t="str">
        <f t="shared" si="50"/>
        <v/>
      </c>
      <c r="P136" s="1504" t="str">
        <f t="shared" si="51"/>
        <v/>
      </c>
      <c r="Q136" s="1504" t="str">
        <f t="shared" si="52"/>
        <v/>
      </c>
      <c r="R136" s="1504" t="str">
        <f t="shared" si="53"/>
        <v/>
      </c>
      <c r="S136" s="1504" t="str">
        <f t="shared" si="54"/>
        <v/>
      </c>
      <c r="T136" s="1504" t="str">
        <f t="shared" si="55"/>
        <v/>
      </c>
      <c r="U136" s="1504" t="str">
        <f t="shared" si="56"/>
        <v/>
      </c>
      <c r="V136" s="1503" t="str">
        <f>IF(AND(C136&lt;&gt;"",C136&lt;&gt;"Vacant",C136&lt;&gt;"Manager"),'F-TIV'!O133,"")</f>
        <v/>
      </c>
      <c r="W136" s="1502" t="str">
        <f>IF(AND(C136&lt;&gt;"",C136&lt;&gt;"Vacant",C136&lt;&gt;"Manager"),'F-TIV'!P133,"")</f>
        <v/>
      </c>
      <c r="X136" s="1498" t="str">
        <f t="shared" si="57"/>
        <v/>
      </c>
      <c r="Y136" s="1501" t="str">
        <f>IF('F-TIV'!G133&lt;&gt;"",'F-TIV'!G133,"")</f>
        <v/>
      </c>
      <c r="Z136" s="1500" t="str">
        <f>IF(AND(C136&lt;&gt;"",C136&lt;&gt;"Vacant",C136&lt;&gt;"Manager"),'F-TIV'!L133,"")</f>
        <v/>
      </c>
      <c r="AA136" s="1499" t="str">
        <f t="shared" si="58"/>
        <v/>
      </c>
      <c r="AB136" s="1498" t="str">
        <f t="shared" si="59"/>
        <v/>
      </c>
      <c r="AC136" s="1426"/>
      <c r="AD136" s="1426"/>
      <c r="AE136" s="1426"/>
      <c r="AG136" s="1497"/>
      <c r="AL136" s="1496"/>
      <c r="AN136" s="1496"/>
      <c r="AO136" s="1496"/>
      <c r="AP136" s="1496"/>
      <c r="AQ136" s="1496"/>
      <c r="AR136" s="1496"/>
    </row>
    <row r="137" spans="2:44" s="1442" customFormat="1" ht="11.25" customHeight="1">
      <c r="B137" s="1501" t="str">
        <f t="shared" si="45"/>
        <v>0</v>
      </c>
      <c r="C137" s="1506" t="str">
        <f>IF('F-TIV'!D134&lt;&gt;"",'F-TIV'!D134,"")</f>
        <v/>
      </c>
      <c r="D137" s="1501" t="str">
        <f>IF('F-TIV'!C134&lt;&gt;"",'F-TIV'!C134,"")</f>
        <v/>
      </c>
      <c r="E137" s="1502" t="str">
        <f>IF('F-TIV'!Q134&lt;&gt;"",'F-TIV'!Q134,"")</f>
        <v/>
      </c>
      <c r="F137" s="1502" t="str">
        <f>IF('F-TIV'!R134&lt;&gt;"",'F-TIV'!R134,"")</f>
        <v/>
      </c>
      <c r="G137" s="1505" t="str">
        <f>IF('F-TIV'!S134&lt;&gt;"",'F-TIV'!S134,"")</f>
        <v/>
      </c>
      <c r="H137" s="1501" t="str">
        <f>IF('F-TIV'!F134&lt;&gt;"",'F-TIV'!F134,"")</f>
        <v/>
      </c>
      <c r="I137" s="1500" t="str">
        <f>IF(AND(C137&lt;&gt;"",C137&lt;&gt;"Vacant",C137&lt;&gt;"Manager"),IF('F-TIV'!H134&lt;&gt;"",'F-TIV'!H134,""),"")</f>
        <v/>
      </c>
      <c r="J137" s="1500" t="str">
        <f>IF(AND(C137&lt;&gt;"",C137&lt;&gt;"Vacant",C137&lt;&gt;"Manager"),IF('F-TIV'!J134&lt;&gt;0,'F-TIV'!J134,"$0"),"")</f>
        <v/>
      </c>
      <c r="K137" s="1500" t="str">
        <f t="shared" si="46"/>
        <v/>
      </c>
      <c r="L137" s="1504" t="str">
        <f t="shared" si="47"/>
        <v/>
      </c>
      <c r="M137" s="1504" t="str">
        <f t="shared" si="48"/>
        <v/>
      </c>
      <c r="N137" s="1504" t="str">
        <f t="shared" si="49"/>
        <v/>
      </c>
      <c r="O137" s="1504" t="str">
        <f t="shared" si="50"/>
        <v/>
      </c>
      <c r="P137" s="1504" t="str">
        <f t="shared" si="51"/>
        <v/>
      </c>
      <c r="Q137" s="1504" t="str">
        <f t="shared" si="52"/>
        <v/>
      </c>
      <c r="R137" s="1504" t="str">
        <f t="shared" si="53"/>
        <v/>
      </c>
      <c r="S137" s="1504" t="str">
        <f t="shared" si="54"/>
        <v/>
      </c>
      <c r="T137" s="1504" t="str">
        <f t="shared" si="55"/>
        <v/>
      </c>
      <c r="U137" s="1504" t="str">
        <f t="shared" si="56"/>
        <v/>
      </c>
      <c r="V137" s="1503" t="str">
        <f>IF(AND(C137&lt;&gt;"",C137&lt;&gt;"Vacant",C137&lt;&gt;"Manager"),'F-TIV'!O134,"")</f>
        <v/>
      </c>
      <c r="W137" s="1502" t="str">
        <f>IF(AND(C137&lt;&gt;"",C137&lt;&gt;"Vacant",C137&lt;&gt;"Manager"),'F-TIV'!P134,"")</f>
        <v/>
      </c>
      <c r="X137" s="1498" t="str">
        <f t="shared" si="57"/>
        <v/>
      </c>
      <c r="Y137" s="1501" t="str">
        <f>IF('F-TIV'!G134&lt;&gt;"",'F-TIV'!G134,"")</f>
        <v/>
      </c>
      <c r="Z137" s="1500" t="str">
        <f>IF(AND(C137&lt;&gt;"",C137&lt;&gt;"Vacant",C137&lt;&gt;"Manager"),'F-TIV'!L134,"")</f>
        <v/>
      </c>
      <c r="AA137" s="1499" t="str">
        <f t="shared" si="58"/>
        <v/>
      </c>
      <c r="AB137" s="1498" t="str">
        <f t="shared" si="59"/>
        <v/>
      </c>
      <c r="AC137" s="1426"/>
      <c r="AD137" s="1426"/>
      <c r="AE137" s="1426"/>
      <c r="AG137" s="1497"/>
      <c r="AL137" s="1496"/>
      <c r="AN137" s="1496"/>
      <c r="AO137" s="1496"/>
      <c r="AP137" s="1496"/>
      <c r="AQ137" s="1496"/>
      <c r="AR137" s="1496"/>
    </row>
    <row r="138" spans="2:44" s="1442" customFormat="1" ht="11.25" customHeight="1">
      <c r="B138" s="1501" t="str">
        <f t="shared" si="45"/>
        <v>0</v>
      </c>
      <c r="C138" s="1506" t="str">
        <f>IF('F-TIV'!D135&lt;&gt;"",'F-TIV'!D135,"")</f>
        <v/>
      </c>
      <c r="D138" s="1501" t="str">
        <f>IF('F-TIV'!C135&lt;&gt;"",'F-TIV'!C135,"")</f>
        <v/>
      </c>
      <c r="E138" s="1502" t="str">
        <f>IF('F-TIV'!Q135&lt;&gt;"",'F-TIV'!Q135,"")</f>
        <v/>
      </c>
      <c r="F138" s="1502" t="str">
        <f>IF('F-TIV'!R135&lt;&gt;"",'F-TIV'!R135,"")</f>
        <v/>
      </c>
      <c r="G138" s="1505" t="str">
        <f>IF('F-TIV'!S135&lt;&gt;"",'F-TIV'!S135,"")</f>
        <v/>
      </c>
      <c r="H138" s="1501" t="str">
        <f>IF('F-TIV'!F135&lt;&gt;"",'F-TIV'!F135,"")</f>
        <v/>
      </c>
      <c r="I138" s="1500" t="str">
        <f>IF(AND(C138&lt;&gt;"",C138&lt;&gt;"Vacant",C138&lt;&gt;"Manager"),IF('F-TIV'!H135&lt;&gt;"",'F-TIV'!H135,""),"")</f>
        <v/>
      </c>
      <c r="J138" s="1500" t="str">
        <f>IF(AND(C138&lt;&gt;"",C138&lt;&gt;"Vacant",C138&lt;&gt;"Manager"),IF('F-TIV'!J135&lt;&gt;0,'F-TIV'!J135,"$0"),"")</f>
        <v/>
      </c>
      <c r="K138" s="1500" t="str">
        <f t="shared" si="46"/>
        <v/>
      </c>
      <c r="L138" s="1504" t="str">
        <f t="shared" si="47"/>
        <v/>
      </c>
      <c r="M138" s="1504" t="str">
        <f t="shared" si="48"/>
        <v/>
      </c>
      <c r="N138" s="1504" t="str">
        <f t="shared" si="49"/>
        <v/>
      </c>
      <c r="O138" s="1504" t="str">
        <f t="shared" si="50"/>
        <v/>
      </c>
      <c r="P138" s="1504" t="str">
        <f t="shared" si="51"/>
        <v/>
      </c>
      <c r="Q138" s="1504" t="str">
        <f t="shared" si="52"/>
        <v/>
      </c>
      <c r="R138" s="1504" t="str">
        <f t="shared" si="53"/>
        <v/>
      </c>
      <c r="S138" s="1504" t="str">
        <f t="shared" si="54"/>
        <v/>
      </c>
      <c r="T138" s="1504" t="str">
        <f t="shared" si="55"/>
        <v/>
      </c>
      <c r="U138" s="1504" t="str">
        <f t="shared" si="56"/>
        <v/>
      </c>
      <c r="V138" s="1503" t="str">
        <f>IF(AND(C138&lt;&gt;"",C138&lt;&gt;"Vacant",C138&lt;&gt;"Manager"),'F-TIV'!O135,"")</f>
        <v/>
      </c>
      <c r="W138" s="1502" t="str">
        <f>IF(AND(C138&lt;&gt;"",C138&lt;&gt;"Vacant",C138&lt;&gt;"Manager"),'F-TIV'!P135,"")</f>
        <v/>
      </c>
      <c r="X138" s="1498" t="str">
        <f t="shared" si="57"/>
        <v/>
      </c>
      <c r="Y138" s="1501" t="str">
        <f>IF('F-TIV'!G135&lt;&gt;"",'F-TIV'!G135,"")</f>
        <v/>
      </c>
      <c r="Z138" s="1500" t="str">
        <f>IF(AND(C138&lt;&gt;"",C138&lt;&gt;"Vacant",C138&lt;&gt;"Manager"),'F-TIV'!L135,"")</f>
        <v/>
      </c>
      <c r="AA138" s="1499" t="str">
        <f t="shared" si="58"/>
        <v/>
      </c>
      <c r="AB138" s="1498" t="str">
        <f t="shared" si="59"/>
        <v/>
      </c>
      <c r="AC138" s="1426"/>
      <c r="AD138" s="1426"/>
      <c r="AE138" s="1426"/>
      <c r="AG138" s="1497"/>
      <c r="AL138" s="1496"/>
      <c r="AN138" s="1496"/>
      <c r="AO138" s="1496"/>
      <c r="AP138" s="1496"/>
      <c r="AQ138" s="1496"/>
      <c r="AR138" s="1496"/>
    </row>
    <row r="139" spans="2:44" s="1442" customFormat="1" ht="11.25" customHeight="1">
      <c r="B139" s="1501" t="str">
        <f t="shared" si="45"/>
        <v>0</v>
      </c>
      <c r="C139" s="1506" t="str">
        <f>IF('F-TIV'!D136&lt;&gt;"",'F-TIV'!D136,"")</f>
        <v/>
      </c>
      <c r="D139" s="1501" t="str">
        <f>IF('F-TIV'!C136&lt;&gt;"",'F-TIV'!C136,"")</f>
        <v/>
      </c>
      <c r="E139" s="1502" t="str">
        <f>IF('F-TIV'!Q136&lt;&gt;"",'F-TIV'!Q136,"")</f>
        <v/>
      </c>
      <c r="F139" s="1502" t="str">
        <f>IF('F-TIV'!R136&lt;&gt;"",'F-TIV'!R136,"")</f>
        <v/>
      </c>
      <c r="G139" s="1505" t="str">
        <f>IF('F-TIV'!S136&lt;&gt;"",'F-TIV'!S136,"")</f>
        <v/>
      </c>
      <c r="H139" s="1501" t="str">
        <f>IF('F-TIV'!F136&lt;&gt;"",'F-TIV'!F136,"")</f>
        <v/>
      </c>
      <c r="I139" s="1500" t="str">
        <f>IF(AND(C139&lt;&gt;"",C139&lt;&gt;"Vacant",C139&lt;&gt;"Manager"),IF('F-TIV'!H136&lt;&gt;"",'F-TIV'!H136,""),"")</f>
        <v/>
      </c>
      <c r="J139" s="1500" t="str">
        <f>IF(AND(C139&lt;&gt;"",C139&lt;&gt;"Vacant",C139&lt;&gt;"Manager"),IF('F-TIV'!J136&lt;&gt;0,'F-TIV'!J136,"$0"),"")</f>
        <v/>
      </c>
      <c r="K139" s="1500" t="str">
        <f t="shared" si="46"/>
        <v/>
      </c>
      <c r="L139" s="1504" t="str">
        <f t="shared" si="47"/>
        <v/>
      </c>
      <c r="M139" s="1504" t="str">
        <f t="shared" si="48"/>
        <v/>
      </c>
      <c r="N139" s="1504" t="str">
        <f t="shared" si="49"/>
        <v/>
      </c>
      <c r="O139" s="1504" t="str">
        <f t="shared" si="50"/>
        <v/>
      </c>
      <c r="P139" s="1504" t="str">
        <f t="shared" si="51"/>
        <v/>
      </c>
      <c r="Q139" s="1504" t="str">
        <f t="shared" si="52"/>
        <v/>
      </c>
      <c r="R139" s="1504" t="str">
        <f t="shared" si="53"/>
        <v/>
      </c>
      <c r="S139" s="1504" t="str">
        <f t="shared" si="54"/>
        <v/>
      </c>
      <c r="T139" s="1504" t="str">
        <f t="shared" si="55"/>
        <v/>
      </c>
      <c r="U139" s="1504" t="str">
        <f t="shared" si="56"/>
        <v/>
      </c>
      <c r="V139" s="1503" t="str">
        <f>IF(AND(C139&lt;&gt;"",C139&lt;&gt;"Vacant",C139&lt;&gt;"Manager"),'F-TIV'!O136,"")</f>
        <v/>
      </c>
      <c r="W139" s="1502" t="str">
        <f>IF(AND(C139&lt;&gt;"",C139&lt;&gt;"Vacant",C139&lt;&gt;"Manager"),'F-TIV'!P136,"")</f>
        <v/>
      </c>
      <c r="X139" s="1498" t="str">
        <f t="shared" si="57"/>
        <v/>
      </c>
      <c r="Y139" s="1501" t="str">
        <f>IF('F-TIV'!G136&lt;&gt;"",'F-TIV'!G136,"")</f>
        <v/>
      </c>
      <c r="Z139" s="1500" t="str">
        <f>IF(AND(C139&lt;&gt;"",C139&lt;&gt;"Vacant",C139&lt;&gt;"Manager"),'F-TIV'!L136,"")</f>
        <v/>
      </c>
      <c r="AA139" s="1499" t="str">
        <f t="shared" si="58"/>
        <v/>
      </c>
      <c r="AB139" s="1498" t="str">
        <f t="shared" si="59"/>
        <v/>
      </c>
      <c r="AC139" s="1426"/>
      <c r="AD139" s="1426"/>
      <c r="AE139" s="1426"/>
      <c r="AG139" s="1497"/>
      <c r="AL139" s="1496"/>
      <c r="AN139" s="1496"/>
      <c r="AO139" s="1496"/>
      <c r="AP139" s="1496"/>
      <c r="AQ139" s="1496"/>
      <c r="AR139" s="1496"/>
    </row>
    <row r="140" spans="2:44" s="1442" customFormat="1" ht="11.25" customHeight="1">
      <c r="B140" s="1501" t="str">
        <f t="shared" si="45"/>
        <v>0</v>
      </c>
      <c r="C140" s="1506" t="str">
        <f>IF('F-TIV'!D137&lt;&gt;"",'F-TIV'!D137,"")</f>
        <v/>
      </c>
      <c r="D140" s="1501" t="str">
        <f>IF('F-TIV'!C137&lt;&gt;"",'F-TIV'!C137,"")</f>
        <v/>
      </c>
      <c r="E140" s="1502" t="str">
        <f>IF('F-TIV'!Q137&lt;&gt;"",'F-TIV'!Q137,"")</f>
        <v/>
      </c>
      <c r="F140" s="1502" t="str">
        <f>IF('F-TIV'!R137&lt;&gt;"",'F-TIV'!R137,"")</f>
        <v/>
      </c>
      <c r="G140" s="1505" t="str">
        <f>IF('F-TIV'!S137&lt;&gt;"",'F-TIV'!S137,"")</f>
        <v/>
      </c>
      <c r="H140" s="1501" t="str">
        <f>IF('F-TIV'!F137&lt;&gt;"",'F-TIV'!F137,"")</f>
        <v/>
      </c>
      <c r="I140" s="1500" t="str">
        <f>IF(AND(C140&lt;&gt;"",C140&lt;&gt;"Vacant",C140&lt;&gt;"Manager"),IF('F-TIV'!H137&lt;&gt;"",'F-TIV'!H137,""),"")</f>
        <v/>
      </c>
      <c r="J140" s="1500" t="str">
        <f>IF(AND(C140&lt;&gt;"",C140&lt;&gt;"Vacant",C140&lt;&gt;"Manager"),IF('F-TIV'!J137&lt;&gt;0,'F-TIV'!J137,"$0"),"")</f>
        <v/>
      </c>
      <c r="K140" s="1500" t="str">
        <f t="shared" si="46"/>
        <v/>
      </c>
      <c r="L140" s="1504" t="str">
        <f t="shared" si="47"/>
        <v/>
      </c>
      <c r="M140" s="1504" t="str">
        <f t="shared" si="48"/>
        <v/>
      </c>
      <c r="N140" s="1504" t="str">
        <f t="shared" si="49"/>
        <v/>
      </c>
      <c r="O140" s="1504" t="str">
        <f t="shared" si="50"/>
        <v/>
      </c>
      <c r="P140" s="1504" t="str">
        <f t="shared" si="51"/>
        <v/>
      </c>
      <c r="Q140" s="1504" t="str">
        <f t="shared" si="52"/>
        <v/>
      </c>
      <c r="R140" s="1504" t="str">
        <f t="shared" si="53"/>
        <v/>
      </c>
      <c r="S140" s="1504" t="str">
        <f t="shared" si="54"/>
        <v/>
      </c>
      <c r="T140" s="1504" t="str">
        <f t="shared" si="55"/>
        <v/>
      </c>
      <c r="U140" s="1504" t="str">
        <f t="shared" si="56"/>
        <v/>
      </c>
      <c r="V140" s="1503" t="str">
        <f>IF(AND(C140&lt;&gt;"",C140&lt;&gt;"Vacant",C140&lt;&gt;"Manager"),'F-TIV'!O137,"")</f>
        <v/>
      </c>
      <c r="W140" s="1502" t="str">
        <f>IF(AND(C140&lt;&gt;"",C140&lt;&gt;"Vacant",C140&lt;&gt;"Manager"),'F-TIV'!P137,"")</f>
        <v/>
      </c>
      <c r="X140" s="1498" t="str">
        <f t="shared" si="57"/>
        <v/>
      </c>
      <c r="Y140" s="1501" t="str">
        <f>IF('F-TIV'!G137&lt;&gt;"",'F-TIV'!G137,"")</f>
        <v/>
      </c>
      <c r="Z140" s="1500" t="str">
        <f>IF(AND(C140&lt;&gt;"",C140&lt;&gt;"Vacant",C140&lt;&gt;"Manager"),'F-TIV'!L137,"")</f>
        <v/>
      </c>
      <c r="AA140" s="1499" t="str">
        <f t="shared" si="58"/>
        <v/>
      </c>
      <c r="AB140" s="1498" t="str">
        <f t="shared" si="59"/>
        <v/>
      </c>
      <c r="AC140" s="1426"/>
      <c r="AD140" s="1426"/>
      <c r="AE140" s="1426"/>
      <c r="AG140" s="1497"/>
      <c r="AL140" s="1496"/>
      <c r="AN140" s="1496"/>
      <c r="AO140" s="1496"/>
      <c r="AP140" s="1496"/>
      <c r="AQ140" s="1496"/>
      <c r="AR140" s="1496"/>
    </row>
    <row r="141" spans="2:44" s="1442" customFormat="1" ht="11.25" customHeight="1">
      <c r="B141" s="1501" t="str">
        <f t="shared" si="45"/>
        <v>0</v>
      </c>
      <c r="C141" s="1506" t="str">
        <f>IF('F-TIV'!D138&lt;&gt;"",'F-TIV'!D138,"")</f>
        <v/>
      </c>
      <c r="D141" s="1501" t="str">
        <f>IF('F-TIV'!C138&lt;&gt;"",'F-TIV'!C138,"")</f>
        <v/>
      </c>
      <c r="E141" s="1502" t="str">
        <f>IF('F-TIV'!Q138&lt;&gt;"",'F-TIV'!Q138,"")</f>
        <v/>
      </c>
      <c r="F141" s="1502" t="str">
        <f>IF('F-TIV'!R138&lt;&gt;"",'F-TIV'!R138,"")</f>
        <v/>
      </c>
      <c r="G141" s="1505" t="str">
        <f>IF('F-TIV'!S138&lt;&gt;"",'F-TIV'!S138,"")</f>
        <v/>
      </c>
      <c r="H141" s="1501" t="str">
        <f>IF('F-TIV'!F138&lt;&gt;"",'F-TIV'!F138,"")</f>
        <v/>
      </c>
      <c r="I141" s="1500" t="str">
        <f>IF(AND(C141&lt;&gt;"",C141&lt;&gt;"Vacant",C141&lt;&gt;"Manager"),IF('F-TIV'!H138&lt;&gt;"",'F-TIV'!H138,""),"")</f>
        <v/>
      </c>
      <c r="J141" s="1500" t="str">
        <f>IF(AND(C141&lt;&gt;"",C141&lt;&gt;"Vacant",C141&lt;&gt;"Manager"),IF('F-TIV'!J138&lt;&gt;0,'F-TIV'!J138,"$0"),"")</f>
        <v/>
      </c>
      <c r="K141" s="1500" t="str">
        <f t="shared" si="46"/>
        <v/>
      </c>
      <c r="L141" s="1504" t="str">
        <f t="shared" si="47"/>
        <v/>
      </c>
      <c r="M141" s="1504" t="str">
        <f t="shared" si="48"/>
        <v/>
      </c>
      <c r="N141" s="1504" t="str">
        <f t="shared" si="49"/>
        <v/>
      </c>
      <c r="O141" s="1504" t="str">
        <f t="shared" si="50"/>
        <v/>
      </c>
      <c r="P141" s="1504" t="str">
        <f t="shared" si="51"/>
        <v/>
      </c>
      <c r="Q141" s="1504" t="str">
        <f t="shared" si="52"/>
        <v/>
      </c>
      <c r="R141" s="1504" t="str">
        <f t="shared" si="53"/>
        <v/>
      </c>
      <c r="S141" s="1504" t="str">
        <f t="shared" si="54"/>
        <v/>
      </c>
      <c r="T141" s="1504" t="str">
        <f t="shared" si="55"/>
        <v/>
      </c>
      <c r="U141" s="1504" t="str">
        <f t="shared" si="56"/>
        <v/>
      </c>
      <c r="V141" s="1503" t="str">
        <f>IF(AND(C141&lt;&gt;"",C141&lt;&gt;"Vacant",C141&lt;&gt;"Manager"),'F-TIV'!O138,"")</f>
        <v/>
      </c>
      <c r="W141" s="1502" t="str">
        <f>IF(AND(C141&lt;&gt;"",C141&lt;&gt;"Vacant",C141&lt;&gt;"Manager"),'F-TIV'!P138,"")</f>
        <v/>
      </c>
      <c r="X141" s="1498" t="str">
        <f t="shared" si="57"/>
        <v/>
      </c>
      <c r="Y141" s="1501" t="str">
        <f>IF('F-TIV'!G138&lt;&gt;"",'F-TIV'!G138,"")</f>
        <v/>
      </c>
      <c r="Z141" s="1500" t="str">
        <f>IF(AND(C141&lt;&gt;"",C141&lt;&gt;"Vacant",C141&lt;&gt;"Manager"),'F-TIV'!L138,"")</f>
        <v/>
      </c>
      <c r="AA141" s="1499" t="str">
        <f t="shared" si="58"/>
        <v/>
      </c>
      <c r="AB141" s="1498" t="str">
        <f t="shared" si="59"/>
        <v/>
      </c>
      <c r="AC141" s="1426"/>
      <c r="AD141" s="1426"/>
      <c r="AE141" s="1426"/>
      <c r="AG141" s="1497"/>
      <c r="AL141" s="1496"/>
      <c r="AN141" s="1496"/>
      <c r="AO141" s="1496"/>
      <c r="AP141" s="1496"/>
      <c r="AQ141" s="1496"/>
      <c r="AR141" s="1496"/>
    </row>
    <row r="142" spans="2:44" s="1442" customFormat="1" ht="11.25" customHeight="1">
      <c r="B142" s="1501" t="str">
        <f t="shared" si="45"/>
        <v>0</v>
      </c>
      <c r="C142" s="1506" t="str">
        <f>IF('F-TIV'!D139&lt;&gt;"",'F-TIV'!D139,"")</f>
        <v/>
      </c>
      <c r="D142" s="1501" t="str">
        <f>IF('F-TIV'!C139&lt;&gt;"",'F-TIV'!C139,"")</f>
        <v/>
      </c>
      <c r="E142" s="1502" t="str">
        <f>IF('F-TIV'!Q139&lt;&gt;"",'F-TIV'!Q139,"")</f>
        <v/>
      </c>
      <c r="F142" s="1502" t="str">
        <f>IF('F-TIV'!R139&lt;&gt;"",'F-TIV'!R139,"")</f>
        <v/>
      </c>
      <c r="G142" s="1505" t="str">
        <f>IF('F-TIV'!S139&lt;&gt;"",'F-TIV'!S139,"")</f>
        <v/>
      </c>
      <c r="H142" s="1501" t="str">
        <f>IF('F-TIV'!F139&lt;&gt;"",'F-TIV'!F139,"")</f>
        <v/>
      </c>
      <c r="I142" s="1500" t="str">
        <f>IF(AND(C142&lt;&gt;"",C142&lt;&gt;"Vacant",C142&lt;&gt;"Manager"),IF('F-TIV'!H139&lt;&gt;"",'F-TIV'!H139,""),"")</f>
        <v/>
      </c>
      <c r="J142" s="1500" t="str">
        <f>IF(AND(C142&lt;&gt;"",C142&lt;&gt;"Vacant",C142&lt;&gt;"Manager"),IF('F-TIV'!J139&lt;&gt;0,'F-TIV'!J139,"$0"),"")</f>
        <v/>
      </c>
      <c r="K142" s="1500" t="str">
        <f t="shared" si="46"/>
        <v/>
      </c>
      <c r="L142" s="1504" t="str">
        <f t="shared" si="47"/>
        <v/>
      </c>
      <c r="M142" s="1504" t="str">
        <f t="shared" si="48"/>
        <v/>
      </c>
      <c r="N142" s="1504" t="str">
        <f t="shared" si="49"/>
        <v/>
      </c>
      <c r="O142" s="1504" t="str">
        <f t="shared" si="50"/>
        <v/>
      </c>
      <c r="P142" s="1504" t="str">
        <f t="shared" si="51"/>
        <v/>
      </c>
      <c r="Q142" s="1504" t="str">
        <f t="shared" si="52"/>
        <v/>
      </c>
      <c r="R142" s="1504" t="str">
        <f t="shared" si="53"/>
        <v/>
      </c>
      <c r="S142" s="1504" t="str">
        <f t="shared" si="54"/>
        <v/>
      </c>
      <c r="T142" s="1504" t="str">
        <f t="shared" si="55"/>
        <v/>
      </c>
      <c r="U142" s="1504" t="str">
        <f t="shared" si="56"/>
        <v/>
      </c>
      <c r="V142" s="1503" t="str">
        <f>IF(AND(C142&lt;&gt;"",C142&lt;&gt;"Vacant",C142&lt;&gt;"Manager"),'F-TIV'!O139,"")</f>
        <v/>
      </c>
      <c r="W142" s="1502" t="str">
        <f>IF(AND(C142&lt;&gt;"",C142&lt;&gt;"Vacant",C142&lt;&gt;"Manager"),'F-TIV'!P139,"")</f>
        <v/>
      </c>
      <c r="X142" s="1498" t="str">
        <f t="shared" si="57"/>
        <v/>
      </c>
      <c r="Y142" s="1501" t="str">
        <f>IF('F-TIV'!G139&lt;&gt;"",'F-TIV'!G139,"")</f>
        <v/>
      </c>
      <c r="Z142" s="1500" t="str">
        <f>IF(AND(C142&lt;&gt;"",C142&lt;&gt;"Vacant",C142&lt;&gt;"Manager"),'F-TIV'!L139,"")</f>
        <v/>
      </c>
      <c r="AA142" s="1499" t="str">
        <f t="shared" si="58"/>
        <v/>
      </c>
      <c r="AB142" s="1498" t="str">
        <f t="shared" si="59"/>
        <v/>
      </c>
      <c r="AC142" s="1426"/>
      <c r="AD142" s="1426"/>
      <c r="AE142" s="1426"/>
      <c r="AG142" s="1497"/>
      <c r="AL142" s="1496"/>
      <c r="AN142" s="1496"/>
      <c r="AO142" s="1496"/>
      <c r="AP142" s="1496"/>
      <c r="AQ142" s="1496"/>
      <c r="AR142" s="1496"/>
    </row>
    <row r="143" spans="2:44" s="1442" customFormat="1" ht="11.25" customHeight="1">
      <c r="B143" s="1501" t="str">
        <f t="shared" si="45"/>
        <v>0</v>
      </c>
      <c r="C143" s="1506" t="str">
        <f>IF('F-TIV'!D140&lt;&gt;"",'F-TIV'!D140,"")</f>
        <v/>
      </c>
      <c r="D143" s="1501" t="str">
        <f>IF('F-TIV'!C140&lt;&gt;"",'F-TIV'!C140,"")</f>
        <v/>
      </c>
      <c r="E143" s="1502" t="str">
        <f>IF('F-TIV'!Q140&lt;&gt;"",'F-TIV'!Q140,"")</f>
        <v/>
      </c>
      <c r="F143" s="1502" t="str">
        <f>IF('F-TIV'!R140&lt;&gt;"",'F-TIV'!R140,"")</f>
        <v/>
      </c>
      <c r="G143" s="1505" t="str">
        <f>IF('F-TIV'!S140&lt;&gt;"",'F-TIV'!S140,"")</f>
        <v/>
      </c>
      <c r="H143" s="1501" t="str">
        <f>IF('F-TIV'!F140&lt;&gt;"",'F-TIV'!F140,"")</f>
        <v/>
      </c>
      <c r="I143" s="1500" t="str">
        <f>IF(AND(C143&lt;&gt;"",C143&lt;&gt;"Vacant",C143&lt;&gt;"Manager"),IF('F-TIV'!H140&lt;&gt;"",'F-TIV'!H140,""),"")</f>
        <v/>
      </c>
      <c r="J143" s="1500" t="str">
        <f>IF(AND(C143&lt;&gt;"",C143&lt;&gt;"Vacant",C143&lt;&gt;"Manager"),IF('F-TIV'!J140&lt;&gt;0,'F-TIV'!J140,"$0"),"")</f>
        <v/>
      </c>
      <c r="K143" s="1500" t="str">
        <f t="shared" si="46"/>
        <v/>
      </c>
      <c r="L143" s="1504" t="str">
        <f t="shared" si="47"/>
        <v/>
      </c>
      <c r="M143" s="1504" t="str">
        <f t="shared" si="48"/>
        <v/>
      </c>
      <c r="N143" s="1504" t="str">
        <f t="shared" si="49"/>
        <v/>
      </c>
      <c r="O143" s="1504" t="str">
        <f t="shared" si="50"/>
        <v/>
      </c>
      <c r="P143" s="1504" t="str">
        <f t="shared" si="51"/>
        <v/>
      </c>
      <c r="Q143" s="1504" t="str">
        <f t="shared" si="52"/>
        <v/>
      </c>
      <c r="R143" s="1504" t="str">
        <f t="shared" si="53"/>
        <v/>
      </c>
      <c r="S143" s="1504" t="str">
        <f t="shared" si="54"/>
        <v/>
      </c>
      <c r="T143" s="1504" t="str">
        <f t="shared" si="55"/>
        <v/>
      </c>
      <c r="U143" s="1504" t="str">
        <f t="shared" si="56"/>
        <v/>
      </c>
      <c r="V143" s="1503" t="str">
        <f>IF(AND(C143&lt;&gt;"",C143&lt;&gt;"Vacant",C143&lt;&gt;"Manager"),'F-TIV'!O140,"")</f>
        <v/>
      </c>
      <c r="W143" s="1502" t="str">
        <f>IF(AND(C143&lt;&gt;"",C143&lt;&gt;"Vacant",C143&lt;&gt;"Manager"),'F-TIV'!P140,"")</f>
        <v/>
      </c>
      <c r="X143" s="1498" t="str">
        <f t="shared" si="57"/>
        <v/>
      </c>
      <c r="Y143" s="1501" t="str">
        <f>IF('F-TIV'!G140&lt;&gt;"",'F-TIV'!G140,"")</f>
        <v/>
      </c>
      <c r="Z143" s="1500" t="str">
        <f>IF(AND(C143&lt;&gt;"",C143&lt;&gt;"Vacant",C143&lt;&gt;"Manager"),'F-TIV'!L140,"")</f>
        <v/>
      </c>
      <c r="AA143" s="1499" t="str">
        <f t="shared" si="58"/>
        <v/>
      </c>
      <c r="AB143" s="1498" t="str">
        <f t="shared" si="59"/>
        <v/>
      </c>
      <c r="AC143" s="1426"/>
      <c r="AD143" s="1426"/>
      <c r="AE143" s="1426"/>
      <c r="AG143" s="1497"/>
      <c r="AL143" s="1496"/>
      <c r="AN143" s="1496"/>
      <c r="AO143" s="1496"/>
      <c r="AP143" s="1496"/>
      <c r="AQ143" s="1496"/>
      <c r="AR143" s="1496"/>
    </row>
    <row r="144" spans="2:44" s="1442" customFormat="1" ht="11.25" customHeight="1">
      <c r="B144" s="1501" t="str">
        <f t="shared" si="45"/>
        <v>0</v>
      </c>
      <c r="C144" s="1506" t="str">
        <f>IF('F-TIV'!D141&lt;&gt;"",'F-TIV'!D141,"")</f>
        <v/>
      </c>
      <c r="D144" s="1501" t="str">
        <f>IF('F-TIV'!C141&lt;&gt;"",'F-TIV'!C141,"")</f>
        <v/>
      </c>
      <c r="E144" s="1502" t="str">
        <f>IF('F-TIV'!Q141&lt;&gt;"",'F-TIV'!Q141,"")</f>
        <v/>
      </c>
      <c r="F144" s="1502" t="str">
        <f>IF('F-TIV'!R141&lt;&gt;"",'F-TIV'!R141,"")</f>
        <v/>
      </c>
      <c r="G144" s="1505" t="str">
        <f>IF('F-TIV'!S141&lt;&gt;"",'F-TIV'!S141,"")</f>
        <v/>
      </c>
      <c r="H144" s="1501" t="str">
        <f>IF('F-TIV'!F141&lt;&gt;"",'F-TIV'!F141,"")</f>
        <v/>
      </c>
      <c r="I144" s="1500" t="str">
        <f>IF(AND(C144&lt;&gt;"",C144&lt;&gt;"Vacant",C144&lt;&gt;"Manager"),IF('F-TIV'!H141&lt;&gt;"",'F-TIV'!H141,""),"")</f>
        <v/>
      </c>
      <c r="J144" s="1500" t="str">
        <f>IF(AND(C144&lt;&gt;"",C144&lt;&gt;"Vacant",C144&lt;&gt;"Manager"),IF('F-TIV'!J141&lt;&gt;0,'F-TIV'!J141,"$0"),"")</f>
        <v/>
      </c>
      <c r="K144" s="1500" t="str">
        <f t="shared" si="46"/>
        <v/>
      </c>
      <c r="L144" s="1504" t="str">
        <f t="shared" si="47"/>
        <v/>
      </c>
      <c r="M144" s="1504" t="str">
        <f t="shared" si="48"/>
        <v/>
      </c>
      <c r="N144" s="1504" t="str">
        <f t="shared" si="49"/>
        <v/>
      </c>
      <c r="O144" s="1504" t="str">
        <f t="shared" si="50"/>
        <v/>
      </c>
      <c r="P144" s="1504" t="str">
        <f t="shared" si="51"/>
        <v/>
      </c>
      <c r="Q144" s="1504" t="str">
        <f t="shared" si="52"/>
        <v/>
      </c>
      <c r="R144" s="1504" t="str">
        <f t="shared" si="53"/>
        <v/>
      </c>
      <c r="S144" s="1504" t="str">
        <f t="shared" si="54"/>
        <v/>
      </c>
      <c r="T144" s="1504" t="str">
        <f t="shared" si="55"/>
        <v/>
      </c>
      <c r="U144" s="1504" t="str">
        <f t="shared" si="56"/>
        <v/>
      </c>
      <c r="V144" s="1503" t="str">
        <f>IF(AND(C144&lt;&gt;"",C144&lt;&gt;"Vacant",C144&lt;&gt;"Manager"),'F-TIV'!O141,"")</f>
        <v/>
      </c>
      <c r="W144" s="1502" t="str">
        <f>IF(AND(C144&lt;&gt;"",C144&lt;&gt;"Vacant",C144&lt;&gt;"Manager"),'F-TIV'!P141,"")</f>
        <v/>
      </c>
      <c r="X144" s="1498" t="str">
        <f t="shared" si="57"/>
        <v/>
      </c>
      <c r="Y144" s="1501" t="str">
        <f>IF('F-TIV'!G141&lt;&gt;"",'F-TIV'!G141,"")</f>
        <v/>
      </c>
      <c r="Z144" s="1500" t="str">
        <f>IF(AND(C144&lt;&gt;"",C144&lt;&gt;"Vacant",C144&lt;&gt;"Manager"),'F-TIV'!L141,"")</f>
        <v/>
      </c>
      <c r="AA144" s="1499" t="str">
        <f t="shared" si="58"/>
        <v/>
      </c>
      <c r="AB144" s="1498" t="str">
        <f t="shared" si="59"/>
        <v/>
      </c>
      <c r="AC144" s="1426"/>
      <c r="AD144" s="1426"/>
      <c r="AE144" s="1426"/>
      <c r="AG144" s="1497"/>
      <c r="AL144" s="1496"/>
      <c r="AN144" s="1496"/>
      <c r="AO144" s="1496"/>
      <c r="AP144" s="1496"/>
      <c r="AQ144" s="1496"/>
      <c r="AR144" s="1496"/>
    </row>
    <row r="145" spans="2:44" s="1442" customFormat="1" ht="11.25" customHeight="1">
      <c r="B145" s="1501" t="str">
        <f t="shared" si="45"/>
        <v>0</v>
      </c>
      <c r="C145" s="1506" t="str">
        <f>IF('F-TIV'!D142&lt;&gt;"",'F-TIV'!D142,"")</f>
        <v/>
      </c>
      <c r="D145" s="1501" t="str">
        <f>IF('F-TIV'!C142&lt;&gt;"",'F-TIV'!C142,"")</f>
        <v/>
      </c>
      <c r="E145" s="1502" t="str">
        <f>IF('F-TIV'!Q142&lt;&gt;"",'F-TIV'!Q142,"")</f>
        <v/>
      </c>
      <c r="F145" s="1502" t="str">
        <f>IF('F-TIV'!R142&lt;&gt;"",'F-TIV'!R142,"")</f>
        <v/>
      </c>
      <c r="G145" s="1505" t="str">
        <f>IF('F-TIV'!S142&lt;&gt;"",'F-TIV'!S142,"")</f>
        <v/>
      </c>
      <c r="H145" s="1501" t="str">
        <f>IF('F-TIV'!F142&lt;&gt;"",'F-TIV'!F142,"")</f>
        <v/>
      </c>
      <c r="I145" s="1500" t="str">
        <f>IF(AND(C145&lt;&gt;"",C145&lt;&gt;"Vacant",C145&lt;&gt;"Manager"),IF('F-TIV'!H142&lt;&gt;"",'F-TIV'!H142,""),"")</f>
        <v/>
      </c>
      <c r="J145" s="1500" t="str">
        <f>IF(AND(C145&lt;&gt;"",C145&lt;&gt;"Vacant",C145&lt;&gt;"Manager"),IF('F-TIV'!J142&lt;&gt;0,'F-TIV'!J142,"$0"),"")</f>
        <v/>
      </c>
      <c r="K145" s="1500" t="str">
        <f t="shared" si="46"/>
        <v/>
      </c>
      <c r="L145" s="1504" t="str">
        <f t="shared" si="47"/>
        <v/>
      </c>
      <c r="M145" s="1504" t="str">
        <f t="shared" si="48"/>
        <v/>
      </c>
      <c r="N145" s="1504" t="str">
        <f t="shared" si="49"/>
        <v/>
      </c>
      <c r="O145" s="1504" t="str">
        <f t="shared" si="50"/>
        <v/>
      </c>
      <c r="P145" s="1504" t="str">
        <f t="shared" si="51"/>
        <v/>
      </c>
      <c r="Q145" s="1504" t="str">
        <f t="shared" si="52"/>
        <v/>
      </c>
      <c r="R145" s="1504" t="str">
        <f t="shared" si="53"/>
        <v/>
      </c>
      <c r="S145" s="1504" t="str">
        <f t="shared" si="54"/>
        <v/>
      </c>
      <c r="T145" s="1504" t="str">
        <f t="shared" si="55"/>
        <v/>
      </c>
      <c r="U145" s="1504" t="str">
        <f t="shared" si="56"/>
        <v/>
      </c>
      <c r="V145" s="1503" t="str">
        <f>IF(AND(C145&lt;&gt;"",C145&lt;&gt;"Vacant",C145&lt;&gt;"Manager"),'F-TIV'!O142,"")</f>
        <v/>
      </c>
      <c r="W145" s="1502" t="str">
        <f>IF(AND(C145&lt;&gt;"",C145&lt;&gt;"Vacant",C145&lt;&gt;"Manager"),'F-TIV'!P142,"")</f>
        <v/>
      </c>
      <c r="X145" s="1498" t="str">
        <f t="shared" si="57"/>
        <v/>
      </c>
      <c r="Y145" s="1501" t="str">
        <f>IF('F-TIV'!G142&lt;&gt;"",'F-TIV'!G142,"")</f>
        <v/>
      </c>
      <c r="Z145" s="1500" t="str">
        <f>IF(AND(C145&lt;&gt;"",C145&lt;&gt;"Vacant",C145&lt;&gt;"Manager"),'F-TIV'!L142,"")</f>
        <v/>
      </c>
      <c r="AA145" s="1499" t="str">
        <f t="shared" si="58"/>
        <v/>
      </c>
      <c r="AB145" s="1498" t="str">
        <f t="shared" si="59"/>
        <v/>
      </c>
      <c r="AC145" s="1426"/>
      <c r="AD145" s="1426"/>
      <c r="AE145" s="1426"/>
      <c r="AG145" s="1497"/>
      <c r="AL145" s="1496"/>
      <c r="AN145" s="1496"/>
      <c r="AO145" s="1496"/>
      <c r="AP145" s="1496"/>
      <c r="AQ145" s="1496"/>
      <c r="AR145" s="1496"/>
    </row>
    <row r="146" spans="2:44" s="1442" customFormat="1" ht="11.25" customHeight="1">
      <c r="B146" s="1501" t="str">
        <f t="shared" si="45"/>
        <v>0</v>
      </c>
      <c r="C146" s="1506" t="str">
        <f>IF('F-TIV'!D143&lt;&gt;"",'F-TIV'!D143,"")</f>
        <v/>
      </c>
      <c r="D146" s="1501" t="str">
        <f>IF('F-TIV'!C143&lt;&gt;"",'F-TIV'!C143,"")</f>
        <v/>
      </c>
      <c r="E146" s="1502" t="str">
        <f>IF('F-TIV'!Q143&lt;&gt;"",'F-TIV'!Q143,"")</f>
        <v/>
      </c>
      <c r="F146" s="1502" t="str">
        <f>IF('F-TIV'!R143&lt;&gt;"",'F-TIV'!R143,"")</f>
        <v/>
      </c>
      <c r="G146" s="1505" t="str">
        <f>IF('F-TIV'!S143&lt;&gt;"",'F-TIV'!S143,"")</f>
        <v/>
      </c>
      <c r="H146" s="1501" t="str">
        <f>IF('F-TIV'!F143&lt;&gt;"",'F-TIV'!F143,"")</f>
        <v/>
      </c>
      <c r="I146" s="1500" t="str">
        <f>IF(AND(C146&lt;&gt;"",C146&lt;&gt;"Vacant",C146&lt;&gt;"Manager"),IF('F-TIV'!H143&lt;&gt;"",'F-TIV'!H143,""),"")</f>
        <v/>
      </c>
      <c r="J146" s="1500" t="str">
        <f>IF(AND(C146&lt;&gt;"",C146&lt;&gt;"Vacant",C146&lt;&gt;"Manager"),IF('F-TIV'!J143&lt;&gt;0,'F-TIV'!J143,"$0"),"")</f>
        <v/>
      </c>
      <c r="K146" s="1500" t="str">
        <f t="shared" si="46"/>
        <v/>
      </c>
      <c r="L146" s="1504" t="str">
        <f t="shared" si="47"/>
        <v/>
      </c>
      <c r="M146" s="1504" t="str">
        <f t="shared" si="48"/>
        <v/>
      </c>
      <c r="N146" s="1504" t="str">
        <f t="shared" si="49"/>
        <v/>
      </c>
      <c r="O146" s="1504" t="str">
        <f t="shared" si="50"/>
        <v/>
      </c>
      <c r="P146" s="1504" t="str">
        <f t="shared" si="51"/>
        <v/>
      </c>
      <c r="Q146" s="1504" t="str">
        <f t="shared" si="52"/>
        <v/>
      </c>
      <c r="R146" s="1504" t="str">
        <f t="shared" si="53"/>
        <v/>
      </c>
      <c r="S146" s="1504" t="str">
        <f t="shared" si="54"/>
        <v/>
      </c>
      <c r="T146" s="1504" t="str">
        <f t="shared" si="55"/>
        <v/>
      </c>
      <c r="U146" s="1504" t="str">
        <f t="shared" si="56"/>
        <v/>
      </c>
      <c r="V146" s="1503" t="str">
        <f>IF(AND(C146&lt;&gt;"",C146&lt;&gt;"Vacant",C146&lt;&gt;"Manager"),'F-TIV'!O143,"")</f>
        <v/>
      </c>
      <c r="W146" s="1502" t="str">
        <f>IF(AND(C146&lt;&gt;"",C146&lt;&gt;"Vacant",C146&lt;&gt;"Manager"),'F-TIV'!P143,"")</f>
        <v/>
      </c>
      <c r="X146" s="1498" t="str">
        <f t="shared" si="57"/>
        <v/>
      </c>
      <c r="Y146" s="1501" t="str">
        <f>IF('F-TIV'!G143&lt;&gt;"",'F-TIV'!G143,"")</f>
        <v/>
      </c>
      <c r="Z146" s="1500" t="str">
        <f>IF(AND(C146&lt;&gt;"",C146&lt;&gt;"Vacant",C146&lt;&gt;"Manager"),'F-TIV'!L143,"")</f>
        <v/>
      </c>
      <c r="AA146" s="1499" t="str">
        <f t="shared" si="58"/>
        <v/>
      </c>
      <c r="AB146" s="1498" t="str">
        <f t="shared" si="59"/>
        <v/>
      </c>
      <c r="AC146" s="1426"/>
      <c r="AD146" s="1426"/>
      <c r="AE146" s="1426"/>
      <c r="AG146" s="1497"/>
      <c r="AL146" s="1496"/>
      <c r="AN146" s="1496"/>
      <c r="AO146" s="1496"/>
      <c r="AP146" s="1496"/>
      <c r="AQ146" s="1496"/>
      <c r="AR146" s="1496"/>
    </row>
    <row r="147" spans="2:44" s="1442" customFormat="1" ht="11.25" customHeight="1">
      <c r="B147" s="1501" t="str">
        <f t="shared" si="45"/>
        <v>0</v>
      </c>
      <c r="C147" s="1506" t="str">
        <f>IF('F-TIV'!D144&lt;&gt;"",'F-TIV'!D144,"")</f>
        <v/>
      </c>
      <c r="D147" s="1501" t="str">
        <f>IF('F-TIV'!C144&lt;&gt;"",'F-TIV'!C144,"")</f>
        <v/>
      </c>
      <c r="E147" s="1502" t="str">
        <f>IF('F-TIV'!Q144&lt;&gt;"",'F-TIV'!Q144,"")</f>
        <v/>
      </c>
      <c r="F147" s="1502" t="str">
        <f>IF('F-TIV'!R144&lt;&gt;"",'F-TIV'!R144,"")</f>
        <v/>
      </c>
      <c r="G147" s="1505" t="str">
        <f>IF('F-TIV'!S144&lt;&gt;"",'F-TIV'!S144,"")</f>
        <v/>
      </c>
      <c r="H147" s="1501" t="str">
        <f>IF('F-TIV'!F144&lt;&gt;"",'F-TIV'!F144,"")</f>
        <v/>
      </c>
      <c r="I147" s="1500" t="str">
        <f>IF(AND(C147&lt;&gt;"",C147&lt;&gt;"Vacant",C147&lt;&gt;"Manager"),IF('F-TIV'!H144&lt;&gt;"",'F-TIV'!H144,""),"")</f>
        <v/>
      </c>
      <c r="J147" s="1500" t="str">
        <f>IF(AND(C147&lt;&gt;"",C147&lt;&gt;"Vacant",C147&lt;&gt;"Manager"),IF('F-TIV'!J144&lt;&gt;0,'F-TIV'!J144,"$0"),"")</f>
        <v/>
      </c>
      <c r="K147" s="1500" t="str">
        <f t="shared" si="46"/>
        <v/>
      </c>
      <c r="L147" s="1504" t="str">
        <f t="shared" si="47"/>
        <v/>
      </c>
      <c r="M147" s="1504" t="str">
        <f t="shared" si="48"/>
        <v/>
      </c>
      <c r="N147" s="1504" t="str">
        <f t="shared" si="49"/>
        <v/>
      </c>
      <c r="O147" s="1504" t="str">
        <f t="shared" si="50"/>
        <v/>
      </c>
      <c r="P147" s="1504" t="str">
        <f t="shared" si="51"/>
        <v/>
      </c>
      <c r="Q147" s="1504" t="str">
        <f t="shared" si="52"/>
        <v/>
      </c>
      <c r="R147" s="1504" t="str">
        <f t="shared" si="53"/>
        <v/>
      </c>
      <c r="S147" s="1504" t="str">
        <f t="shared" si="54"/>
        <v/>
      </c>
      <c r="T147" s="1504" t="str">
        <f t="shared" si="55"/>
        <v/>
      </c>
      <c r="U147" s="1504" t="str">
        <f t="shared" si="56"/>
        <v/>
      </c>
      <c r="V147" s="1503" t="str">
        <f>IF(AND(C147&lt;&gt;"",C147&lt;&gt;"Vacant",C147&lt;&gt;"Manager"),'F-TIV'!O144,"")</f>
        <v/>
      </c>
      <c r="W147" s="1502" t="str">
        <f>IF(AND(C147&lt;&gt;"",C147&lt;&gt;"Vacant",C147&lt;&gt;"Manager"),'F-TIV'!P144,"")</f>
        <v/>
      </c>
      <c r="X147" s="1498" t="str">
        <f t="shared" si="57"/>
        <v/>
      </c>
      <c r="Y147" s="1501" t="str">
        <f>IF('F-TIV'!G144&lt;&gt;"",'F-TIV'!G144,"")</f>
        <v/>
      </c>
      <c r="Z147" s="1500" t="str">
        <f>IF(AND(C147&lt;&gt;"",C147&lt;&gt;"Vacant",C147&lt;&gt;"Manager"),'F-TIV'!L144,"")</f>
        <v/>
      </c>
      <c r="AA147" s="1499" t="str">
        <f t="shared" si="58"/>
        <v/>
      </c>
      <c r="AB147" s="1498" t="str">
        <f t="shared" si="59"/>
        <v/>
      </c>
      <c r="AC147" s="1426"/>
      <c r="AD147" s="1426"/>
      <c r="AE147" s="1426"/>
      <c r="AG147" s="1497"/>
      <c r="AL147" s="1496"/>
      <c r="AN147" s="1496"/>
      <c r="AO147" s="1496"/>
      <c r="AP147" s="1496"/>
      <c r="AQ147" s="1496"/>
      <c r="AR147" s="1496"/>
    </row>
    <row r="148" spans="2:44" s="1442" customFormat="1" ht="11.25" customHeight="1">
      <c r="B148" s="1501" t="str">
        <f t="shared" si="45"/>
        <v>0</v>
      </c>
      <c r="C148" s="1506" t="str">
        <f>IF('F-TIV'!D145&lt;&gt;"",'F-TIV'!D145,"")</f>
        <v/>
      </c>
      <c r="D148" s="1501" t="str">
        <f>IF('F-TIV'!C145&lt;&gt;"",'F-TIV'!C145,"")</f>
        <v/>
      </c>
      <c r="E148" s="1502" t="str">
        <f>IF('F-TIV'!Q145&lt;&gt;"",'F-TIV'!Q145,"")</f>
        <v/>
      </c>
      <c r="F148" s="1502" t="str">
        <f>IF('F-TIV'!R145&lt;&gt;"",'F-TIV'!R145,"")</f>
        <v/>
      </c>
      <c r="G148" s="1505" t="str">
        <f>IF('F-TIV'!S145&lt;&gt;"",'F-TIV'!S145,"")</f>
        <v/>
      </c>
      <c r="H148" s="1501" t="str">
        <f>IF('F-TIV'!F145&lt;&gt;"",'F-TIV'!F145,"")</f>
        <v/>
      </c>
      <c r="I148" s="1500" t="str">
        <f>IF(AND(C148&lt;&gt;"",C148&lt;&gt;"Vacant",C148&lt;&gt;"Manager"),IF('F-TIV'!H145&lt;&gt;"",'F-TIV'!H145,""),"")</f>
        <v/>
      </c>
      <c r="J148" s="1500" t="str">
        <f>IF(AND(C148&lt;&gt;"",C148&lt;&gt;"Vacant",C148&lt;&gt;"Manager"),IF('F-TIV'!J145&lt;&gt;0,'F-TIV'!J145,"$0"),"")</f>
        <v/>
      </c>
      <c r="K148" s="1500" t="str">
        <f t="shared" si="46"/>
        <v/>
      </c>
      <c r="L148" s="1504" t="str">
        <f t="shared" si="47"/>
        <v/>
      </c>
      <c r="M148" s="1504" t="str">
        <f t="shared" si="48"/>
        <v/>
      </c>
      <c r="N148" s="1504" t="str">
        <f t="shared" si="49"/>
        <v/>
      </c>
      <c r="O148" s="1504" t="str">
        <f t="shared" si="50"/>
        <v/>
      </c>
      <c r="P148" s="1504" t="str">
        <f t="shared" si="51"/>
        <v/>
      </c>
      <c r="Q148" s="1504" t="str">
        <f t="shared" si="52"/>
        <v/>
      </c>
      <c r="R148" s="1504" t="str">
        <f t="shared" si="53"/>
        <v/>
      </c>
      <c r="S148" s="1504" t="str">
        <f t="shared" si="54"/>
        <v/>
      </c>
      <c r="T148" s="1504" t="str">
        <f t="shared" si="55"/>
        <v/>
      </c>
      <c r="U148" s="1504" t="str">
        <f t="shared" si="56"/>
        <v/>
      </c>
      <c r="V148" s="1503" t="str">
        <f>IF(AND(C148&lt;&gt;"",C148&lt;&gt;"Vacant",C148&lt;&gt;"Manager"),'F-TIV'!O145,"")</f>
        <v/>
      </c>
      <c r="W148" s="1502" t="str">
        <f>IF(AND(C148&lt;&gt;"",C148&lt;&gt;"Vacant",C148&lt;&gt;"Manager"),'F-TIV'!P145,"")</f>
        <v/>
      </c>
      <c r="X148" s="1498" t="str">
        <f t="shared" si="57"/>
        <v/>
      </c>
      <c r="Y148" s="1501" t="str">
        <f>IF('F-TIV'!G145&lt;&gt;"",'F-TIV'!G145,"")</f>
        <v/>
      </c>
      <c r="Z148" s="1500" t="str">
        <f>IF(AND(C148&lt;&gt;"",C148&lt;&gt;"Vacant",C148&lt;&gt;"Manager"),'F-TIV'!L145,"")</f>
        <v/>
      </c>
      <c r="AA148" s="1499" t="str">
        <f t="shared" si="58"/>
        <v/>
      </c>
      <c r="AB148" s="1498" t="str">
        <f t="shared" si="59"/>
        <v/>
      </c>
      <c r="AC148" s="1426"/>
      <c r="AD148" s="1426"/>
      <c r="AE148" s="1426"/>
      <c r="AG148" s="1497"/>
      <c r="AL148" s="1496"/>
      <c r="AN148" s="1496"/>
      <c r="AO148" s="1496"/>
      <c r="AP148" s="1496"/>
      <c r="AQ148" s="1496"/>
      <c r="AR148" s="1496"/>
    </row>
    <row r="149" spans="2:44" s="1442" customFormat="1" ht="11.25" customHeight="1">
      <c r="B149" s="1501" t="str">
        <f t="shared" si="45"/>
        <v>0</v>
      </c>
      <c r="C149" s="1506" t="str">
        <f>IF('F-TIV'!D146&lt;&gt;"",'F-TIV'!D146,"")</f>
        <v/>
      </c>
      <c r="D149" s="1501" t="str">
        <f>IF('F-TIV'!C146&lt;&gt;"",'F-TIV'!C146,"")</f>
        <v/>
      </c>
      <c r="E149" s="1502" t="str">
        <f>IF('F-TIV'!Q146&lt;&gt;"",'F-TIV'!Q146,"")</f>
        <v/>
      </c>
      <c r="F149" s="1502" t="str">
        <f>IF('F-TIV'!R146&lt;&gt;"",'F-TIV'!R146,"")</f>
        <v/>
      </c>
      <c r="G149" s="1505" t="str">
        <f>IF('F-TIV'!S146&lt;&gt;"",'F-TIV'!S146,"")</f>
        <v/>
      </c>
      <c r="H149" s="1501" t="str">
        <f>IF('F-TIV'!F146&lt;&gt;"",'F-TIV'!F146,"")</f>
        <v/>
      </c>
      <c r="I149" s="1500" t="str">
        <f>IF(AND(C149&lt;&gt;"",C149&lt;&gt;"Vacant",C149&lt;&gt;"Manager"),IF('F-TIV'!H146&lt;&gt;"",'F-TIV'!H146,""),"")</f>
        <v/>
      </c>
      <c r="J149" s="1500" t="str">
        <f>IF(AND(C149&lt;&gt;"",C149&lt;&gt;"Vacant",C149&lt;&gt;"Manager"),IF('F-TIV'!J146&lt;&gt;0,'F-TIV'!J146,"$0"),"")</f>
        <v/>
      </c>
      <c r="K149" s="1500" t="str">
        <f t="shared" si="46"/>
        <v/>
      </c>
      <c r="L149" s="1504" t="str">
        <f t="shared" si="47"/>
        <v/>
      </c>
      <c r="M149" s="1504" t="str">
        <f t="shared" si="48"/>
        <v/>
      </c>
      <c r="N149" s="1504" t="str">
        <f t="shared" si="49"/>
        <v/>
      </c>
      <c r="O149" s="1504" t="str">
        <f t="shared" si="50"/>
        <v/>
      </c>
      <c r="P149" s="1504" t="str">
        <f t="shared" si="51"/>
        <v/>
      </c>
      <c r="Q149" s="1504" t="str">
        <f t="shared" si="52"/>
        <v/>
      </c>
      <c r="R149" s="1504" t="str">
        <f t="shared" si="53"/>
        <v/>
      </c>
      <c r="S149" s="1504" t="str">
        <f t="shared" si="54"/>
        <v/>
      </c>
      <c r="T149" s="1504" t="str">
        <f t="shared" si="55"/>
        <v/>
      </c>
      <c r="U149" s="1504" t="str">
        <f t="shared" si="56"/>
        <v/>
      </c>
      <c r="V149" s="1503" t="str">
        <f>IF(AND(C149&lt;&gt;"",C149&lt;&gt;"Vacant",C149&lt;&gt;"Manager"),'F-TIV'!O146,"")</f>
        <v/>
      </c>
      <c r="W149" s="1502" t="str">
        <f>IF(AND(C149&lt;&gt;"",C149&lt;&gt;"Vacant",C149&lt;&gt;"Manager"),'F-TIV'!P146,"")</f>
        <v/>
      </c>
      <c r="X149" s="1498" t="str">
        <f t="shared" si="57"/>
        <v/>
      </c>
      <c r="Y149" s="1501" t="str">
        <f>IF('F-TIV'!G146&lt;&gt;"",'F-TIV'!G146,"")</f>
        <v/>
      </c>
      <c r="Z149" s="1500" t="str">
        <f>IF(AND(C149&lt;&gt;"",C149&lt;&gt;"Vacant",C149&lt;&gt;"Manager"),'F-TIV'!L146,"")</f>
        <v/>
      </c>
      <c r="AA149" s="1499" t="str">
        <f t="shared" si="58"/>
        <v/>
      </c>
      <c r="AB149" s="1498" t="str">
        <f t="shared" si="59"/>
        <v/>
      </c>
      <c r="AC149" s="1426"/>
      <c r="AD149" s="1426"/>
      <c r="AE149" s="1426"/>
      <c r="AG149" s="1497"/>
      <c r="AL149" s="1496"/>
      <c r="AN149" s="1496"/>
      <c r="AO149" s="1496"/>
      <c r="AP149" s="1496"/>
      <c r="AQ149" s="1496"/>
      <c r="AR149" s="1496"/>
    </row>
    <row r="150" spans="2:44" s="1442" customFormat="1" ht="11.25" customHeight="1">
      <c r="B150" s="1501" t="str">
        <f t="shared" si="45"/>
        <v>0</v>
      </c>
      <c r="C150" s="1506" t="str">
        <f>IF('F-TIV'!D147&lt;&gt;"",'F-TIV'!D147,"")</f>
        <v/>
      </c>
      <c r="D150" s="1501" t="str">
        <f>IF('F-TIV'!C147&lt;&gt;"",'F-TIV'!C147,"")</f>
        <v/>
      </c>
      <c r="E150" s="1502" t="str">
        <f>IF('F-TIV'!Q147&lt;&gt;"",'F-TIV'!Q147,"")</f>
        <v/>
      </c>
      <c r="F150" s="1502" t="str">
        <f>IF('F-TIV'!R147&lt;&gt;"",'F-TIV'!R147,"")</f>
        <v/>
      </c>
      <c r="G150" s="1505" t="str">
        <f>IF('F-TIV'!S147&lt;&gt;"",'F-TIV'!S147,"")</f>
        <v/>
      </c>
      <c r="H150" s="1501" t="str">
        <f>IF('F-TIV'!F147&lt;&gt;"",'F-TIV'!F147,"")</f>
        <v/>
      </c>
      <c r="I150" s="1500" t="str">
        <f>IF(AND(C150&lt;&gt;"",C150&lt;&gt;"Vacant",C150&lt;&gt;"Manager"),IF('F-TIV'!H147&lt;&gt;"",'F-TIV'!H147,""),"")</f>
        <v/>
      </c>
      <c r="J150" s="1500" t="str">
        <f>IF(AND(C150&lt;&gt;"",C150&lt;&gt;"Vacant",C150&lt;&gt;"Manager"),IF('F-TIV'!J147&lt;&gt;0,'F-TIV'!J147,"$0"),"")</f>
        <v/>
      </c>
      <c r="K150" s="1500" t="str">
        <f t="shared" si="46"/>
        <v/>
      </c>
      <c r="L150" s="1504" t="str">
        <f t="shared" si="47"/>
        <v/>
      </c>
      <c r="M150" s="1504" t="str">
        <f t="shared" si="48"/>
        <v/>
      </c>
      <c r="N150" s="1504" t="str">
        <f t="shared" si="49"/>
        <v/>
      </c>
      <c r="O150" s="1504" t="str">
        <f t="shared" si="50"/>
        <v/>
      </c>
      <c r="P150" s="1504" t="str">
        <f t="shared" si="51"/>
        <v/>
      </c>
      <c r="Q150" s="1504" t="str">
        <f t="shared" si="52"/>
        <v/>
      </c>
      <c r="R150" s="1504" t="str">
        <f t="shared" si="53"/>
        <v/>
      </c>
      <c r="S150" s="1504" t="str">
        <f t="shared" si="54"/>
        <v/>
      </c>
      <c r="T150" s="1504" t="str">
        <f t="shared" si="55"/>
        <v/>
      </c>
      <c r="U150" s="1504" t="str">
        <f t="shared" si="56"/>
        <v/>
      </c>
      <c r="V150" s="1503" t="str">
        <f>IF(AND(C150&lt;&gt;"",C150&lt;&gt;"Vacant",C150&lt;&gt;"Manager"),'F-TIV'!O147,"")</f>
        <v/>
      </c>
      <c r="W150" s="1502" t="str">
        <f>IF(AND(C150&lt;&gt;"",C150&lt;&gt;"Vacant",C150&lt;&gt;"Manager"),'F-TIV'!P147,"")</f>
        <v/>
      </c>
      <c r="X150" s="1498" t="str">
        <f t="shared" si="57"/>
        <v/>
      </c>
      <c r="Y150" s="1501" t="str">
        <f>IF('F-TIV'!G147&lt;&gt;"",'F-TIV'!G147,"")</f>
        <v/>
      </c>
      <c r="Z150" s="1500" t="str">
        <f>IF(AND(C150&lt;&gt;"",C150&lt;&gt;"Vacant",C150&lt;&gt;"Manager"),'F-TIV'!L147,"")</f>
        <v/>
      </c>
      <c r="AA150" s="1499" t="str">
        <f t="shared" si="58"/>
        <v/>
      </c>
      <c r="AB150" s="1498" t="str">
        <f t="shared" si="59"/>
        <v/>
      </c>
      <c r="AC150" s="1426"/>
      <c r="AD150" s="1426"/>
      <c r="AE150" s="1426"/>
      <c r="AG150" s="1497"/>
      <c r="AL150" s="1496"/>
      <c r="AN150" s="1496"/>
      <c r="AO150" s="1496"/>
      <c r="AP150" s="1496"/>
      <c r="AQ150" s="1496"/>
      <c r="AR150" s="1496"/>
    </row>
    <row r="151" spans="2:44" s="1442" customFormat="1" ht="11.25" customHeight="1">
      <c r="B151" s="1501" t="str">
        <f t="shared" si="45"/>
        <v>0</v>
      </c>
      <c r="C151" s="1506" t="str">
        <f>IF('F-TIV'!D148&lt;&gt;"",'F-TIV'!D148,"")</f>
        <v/>
      </c>
      <c r="D151" s="1501" t="str">
        <f>IF('F-TIV'!C148&lt;&gt;"",'F-TIV'!C148,"")</f>
        <v/>
      </c>
      <c r="E151" s="1502" t="str">
        <f>IF('F-TIV'!Q148&lt;&gt;"",'F-TIV'!Q148,"")</f>
        <v/>
      </c>
      <c r="F151" s="1502" t="str">
        <f>IF('F-TIV'!R148&lt;&gt;"",'F-TIV'!R148,"")</f>
        <v/>
      </c>
      <c r="G151" s="1505" t="str">
        <f>IF('F-TIV'!S148&lt;&gt;"",'F-TIV'!S148,"")</f>
        <v/>
      </c>
      <c r="H151" s="1501" t="str">
        <f>IF('F-TIV'!F148&lt;&gt;"",'F-TIV'!F148,"")</f>
        <v/>
      </c>
      <c r="I151" s="1500" t="str">
        <f>IF(AND(C151&lt;&gt;"",C151&lt;&gt;"Vacant",C151&lt;&gt;"Manager"),IF('F-TIV'!H148&lt;&gt;"",'F-TIV'!H148,""),"")</f>
        <v/>
      </c>
      <c r="J151" s="1500" t="str">
        <f>IF(AND(C151&lt;&gt;"",C151&lt;&gt;"Vacant",C151&lt;&gt;"Manager"),IF('F-TIV'!J148&lt;&gt;0,'F-TIV'!J148,"$0"),"")</f>
        <v/>
      </c>
      <c r="K151" s="1500" t="str">
        <f t="shared" si="46"/>
        <v/>
      </c>
      <c r="L151" s="1504" t="str">
        <f t="shared" si="47"/>
        <v/>
      </c>
      <c r="M151" s="1504" t="str">
        <f t="shared" si="48"/>
        <v/>
      </c>
      <c r="N151" s="1504" t="str">
        <f t="shared" si="49"/>
        <v/>
      </c>
      <c r="O151" s="1504" t="str">
        <f t="shared" si="50"/>
        <v/>
      </c>
      <c r="P151" s="1504" t="str">
        <f t="shared" si="51"/>
        <v/>
      </c>
      <c r="Q151" s="1504" t="str">
        <f t="shared" si="52"/>
        <v/>
      </c>
      <c r="R151" s="1504" t="str">
        <f t="shared" si="53"/>
        <v/>
      </c>
      <c r="S151" s="1504" t="str">
        <f t="shared" si="54"/>
        <v/>
      </c>
      <c r="T151" s="1504" t="str">
        <f t="shared" si="55"/>
        <v/>
      </c>
      <c r="U151" s="1504" t="str">
        <f t="shared" si="56"/>
        <v/>
      </c>
      <c r="V151" s="1503" t="str">
        <f>IF(AND(C151&lt;&gt;"",C151&lt;&gt;"Vacant",C151&lt;&gt;"Manager"),'F-TIV'!O148,"")</f>
        <v/>
      </c>
      <c r="W151" s="1502" t="str">
        <f>IF(AND(C151&lt;&gt;"",C151&lt;&gt;"Vacant",C151&lt;&gt;"Manager"),'F-TIV'!P148,"")</f>
        <v/>
      </c>
      <c r="X151" s="1498" t="str">
        <f t="shared" si="57"/>
        <v/>
      </c>
      <c r="Y151" s="1501" t="str">
        <f>IF('F-TIV'!G148&lt;&gt;"",'F-TIV'!G148,"")</f>
        <v/>
      </c>
      <c r="Z151" s="1500" t="str">
        <f>IF(AND(C151&lt;&gt;"",C151&lt;&gt;"Vacant",C151&lt;&gt;"Manager"),'F-TIV'!L148,"")</f>
        <v/>
      </c>
      <c r="AA151" s="1499" t="str">
        <f t="shared" si="58"/>
        <v/>
      </c>
      <c r="AB151" s="1498" t="str">
        <f t="shared" si="59"/>
        <v/>
      </c>
      <c r="AC151" s="1426"/>
      <c r="AD151" s="1426"/>
      <c r="AE151" s="1426"/>
      <c r="AG151" s="1497"/>
      <c r="AL151" s="1496"/>
      <c r="AN151" s="1496"/>
      <c r="AO151" s="1496"/>
      <c r="AP151" s="1496"/>
      <c r="AQ151" s="1496"/>
      <c r="AR151" s="1496"/>
    </row>
    <row r="152" spans="2:44" s="1442" customFormat="1" ht="11.25" customHeight="1">
      <c r="B152" s="1501" t="str">
        <f t="shared" si="45"/>
        <v>0</v>
      </c>
      <c r="C152" s="1506" t="str">
        <f>IF('F-TIV'!D149&lt;&gt;"",'F-TIV'!D149,"")</f>
        <v/>
      </c>
      <c r="D152" s="1501" t="str">
        <f>IF('F-TIV'!C149&lt;&gt;"",'F-TIV'!C149,"")</f>
        <v/>
      </c>
      <c r="E152" s="1502" t="str">
        <f>IF('F-TIV'!Q149&lt;&gt;"",'F-TIV'!Q149,"")</f>
        <v/>
      </c>
      <c r="F152" s="1502" t="str">
        <f>IF('F-TIV'!R149&lt;&gt;"",'F-TIV'!R149,"")</f>
        <v/>
      </c>
      <c r="G152" s="1505" t="str">
        <f>IF('F-TIV'!S149&lt;&gt;"",'F-TIV'!S149,"")</f>
        <v/>
      </c>
      <c r="H152" s="1501" t="str">
        <f>IF('F-TIV'!F149&lt;&gt;"",'F-TIV'!F149,"")</f>
        <v/>
      </c>
      <c r="I152" s="1500" t="str">
        <f>IF(AND(C152&lt;&gt;"",C152&lt;&gt;"Vacant",C152&lt;&gt;"Manager"),IF('F-TIV'!H149&lt;&gt;"",'F-TIV'!H149,""),"")</f>
        <v/>
      </c>
      <c r="J152" s="1500" t="str">
        <f>IF(AND(C152&lt;&gt;"",C152&lt;&gt;"Vacant",C152&lt;&gt;"Manager"),IF('F-TIV'!J149&lt;&gt;0,'F-TIV'!J149,"$0"),"")</f>
        <v/>
      </c>
      <c r="K152" s="1500" t="str">
        <f t="shared" si="46"/>
        <v/>
      </c>
      <c r="L152" s="1504" t="str">
        <f t="shared" si="47"/>
        <v/>
      </c>
      <c r="M152" s="1504" t="str">
        <f t="shared" si="48"/>
        <v/>
      </c>
      <c r="N152" s="1504" t="str">
        <f t="shared" si="49"/>
        <v/>
      </c>
      <c r="O152" s="1504" t="str">
        <f t="shared" si="50"/>
        <v/>
      </c>
      <c r="P152" s="1504" t="str">
        <f t="shared" si="51"/>
        <v/>
      </c>
      <c r="Q152" s="1504" t="str">
        <f t="shared" si="52"/>
        <v/>
      </c>
      <c r="R152" s="1504" t="str">
        <f t="shared" si="53"/>
        <v/>
      </c>
      <c r="S152" s="1504" t="str">
        <f t="shared" si="54"/>
        <v/>
      </c>
      <c r="T152" s="1504" t="str">
        <f t="shared" si="55"/>
        <v/>
      </c>
      <c r="U152" s="1504" t="str">
        <f t="shared" si="56"/>
        <v/>
      </c>
      <c r="V152" s="1503" t="str">
        <f>IF(AND(C152&lt;&gt;"",C152&lt;&gt;"Vacant",C152&lt;&gt;"Manager"),'F-TIV'!O149,"")</f>
        <v/>
      </c>
      <c r="W152" s="1502" t="str">
        <f>IF(AND(C152&lt;&gt;"",C152&lt;&gt;"Vacant",C152&lt;&gt;"Manager"),'F-TIV'!P149,"")</f>
        <v/>
      </c>
      <c r="X152" s="1498" t="str">
        <f t="shared" si="57"/>
        <v/>
      </c>
      <c r="Y152" s="1501" t="str">
        <f>IF('F-TIV'!G149&lt;&gt;"",'F-TIV'!G149,"")</f>
        <v/>
      </c>
      <c r="Z152" s="1500" t="str">
        <f>IF(AND(C152&lt;&gt;"",C152&lt;&gt;"Vacant",C152&lt;&gt;"Manager"),'F-TIV'!L149,"")</f>
        <v/>
      </c>
      <c r="AA152" s="1499" t="str">
        <f t="shared" si="58"/>
        <v/>
      </c>
      <c r="AB152" s="1498" t="str">
        <f t="shared" si="59"/>
        <v/>
      </c>
      <c r="AC152" s="1426"/>
      <c r="AD152" s="1426"/>
      <c r="AE152" s="1426"/>
      <c r="AG152" s="1497"/>
      <c r="AL152" s="1496"/>
      <c r="AN152" s="1496"/>
      <c r="AO152" s="1496"/>
      <c r="AP152" s="1496"/>
      <c r="AQ152" s="1496"/>
      <c r="AR152" s="1496"/>
    </row>
    <row r="153" spans="2:44" s="1442" customFormat="1" ht="11.25" customHeight="1">
      <c r="B153" s="1501" t="str">
        <f t="shared" si="45"/>
        <v>0</v>
      </c>
      <c r="C153" s="1506" t="str">
        <f>IF('F-TIV'!D150&lt;&gt;"",'F-TIV'!D150,"")</f>
        <v/>
      </c>
      <c r="D153" s="1501" t="str">
        <f>IF('F-TIV'!C150&lt;&gt;"",'F-TIV'!C150,"")</f>
        <v/>
      </c>
      <c r="E153" s="1502" t="str">
        <f>IF('F-TIV'!Q150&lt;&gt;"",'F-TIV'!Q150,"")</f>
        <v/>
      </c>
      <c r="F153" s="1502" t="str">
        <f>IF('F-TIV'!R150&lt;&gt;"",'F-TIV'!R150,"")</f>
        <v/>
      </c>
      <c r="G153" s="1505" t="str">
        <f>IF('F-TIV'!S150&lt;&gt;"",'F-TIV'!S150,"")</f>
        <v/>
      </c>
      <c r="H153" s="1501" t="str">
        <f>IF('F-TIV'!F150&lt;&gt;"",'F-TIV'!F150,"")</f>
        <v/>
      </c>
      <c r="I153" s="1500" t="str">
        <f>IF(AND(C153&lt;&gt;"",C153&lt;&gt;"Vacant",C153&lt;&gt;"Manager"),IF('F-TIV'!H150&lt;&gt;"",'F-TIV'!H150,""),"")</f>
        <v/>
      </c>
      <c r="J153" s="1500" t="str">
        <f>IF(AND(C153&lt;&gt;"",C153&lt;&gt;"Vacant",C153&lt;&gt;"Manager"),IF('F-TIV'!J150&lt;&gt;0,'F-TIV'!J150,"$0"),"")</f>
        <v/>
      </c>
      <c r="K153" s="1500" t="str">
        <f t="shared" si="46"/>
        <v/>
      </c>
      <c r="L153" s="1504" t="str">
        <f t="shared" si="47"/>
        <v/>
      </c>
      <c r="M153" s="1504" t="str">
        <f t="shared" si="48"/>
        <v/>
      </c>
      <c r="N153" s="1504" t="str">
        <f t="shared" si="49"/>
        <v/>
      </c>
      <c r="O153" s="1504" t="str">
        <f t="shared" si="50"/>
        <v/>
      </c>
      <c r="P153" s="1504" t="str">
        <f t="shared" si="51"/>
        <v/>
      </c>
      <c r="Q153" s="1504" t="str">
        <f t="shared" si="52"/>
        <v/>
      </c>
      <c r="R153" s="1504" t="str">
        <f t="shared" si="53"/>
        <v/>
      </c>
      <c r="S153" s="1504" t="str">
        <f t="shared" si="54"/>
        <v/>
      </c>
      <c r="T153" s="1504" t="str">
        <f t="shared" si="55"/>
        <v/>
      </c>
      <c r="U153" s="1504" t="str">
        <f t="shared" si="56"/>
        <v/>
      </c>
      <c r="V153" s="1503" t="str">
        <f>IF(AND(C153&lt;&gt;"",C153&lt;&gt;"Vacant",C153&lt;&gt;"Manager"),'F-TIV'!O150,"")</f>
        <v/>
      </c>
      <c r="W153" s="1502" t="str">
        <f>IF(AND(C153&lt;&gt;"",C153&lt;&gt;"Vacant",C153&lt;&gt;"Manager"),'F-TIV'!P150,"")</f>
        <v/>
      </c>
      <c r="X153" s="1498" t="str">
        <f t="shared" si="57"/>
        <v/>
      </c>
      <c r="Y153" s="1501" t="str">
        <f>IF('F-TIV'!G150&lt;&gt;"",'F-TIV'!G150,"")</f>
        <v/>
      </c>
      <c r="Z153" s="1500" t="str">
        <f>IF(AND(C153&lt;&gt;"",C153&lt;&gt;"Vacant",C153&lt;&gt;"Manager"),'F-TIV'!L150,"")</f>
        <v/>
      </c>
      <c r="AA153" s="1499" t="str">
        <f t="shared" si="58"/>
        <v/>
      </c>
      <c r="AB153" s="1498" t="str">
        <f t="shared" si="59"/>
        <v/>
      </c>
      <c r="AC153" s="1426"/>
      <c r="AD153" s="1426"/>
      <c r="AE153" s="1426"/>
      <c r="AG153" s="1497"/>
      <c r="AL153" s="1496"/>
      <c r="AN153" s="1496"/>
      <c r="AO153" s="1496"/>
      <c r="AP153" s="1496"/>
      <c r="AQ153" s="1496"/>
      <c r="AR153" s="1496"/>
    </row>
    <row r="154" spans="2:44" s="1442" customFormat="1" ht="11.25" customHeight="1">
      <c r="B154" s="1501" t="str">
        <f t="shared" si="45"/>
        <v>0</v>
      </c>
      <c r="C154" s="1506" t="str">
        <f>IF('F-TIV'!D151&lt;&gt;"",'F-TIV'!D151,"")</f>
        <v/>
      </c>
      <c r="D154" s="1501" t="str">
        <f>IF('F-TIV'!C151&lt;&gt;"",'F-TIV'!C151,"")</f>
        <v/>
      </c>
      <c r="E154" s="1502" t="str">
        <f>IF('F-TIV'!Q151&lt;&gt;"",'F-TIV'!Q151,"")</f>
        <v/>
      </c>
      <c r="F154" s="1502" t="str">
        <f>IF('F-TIV'!R151&lt;&gt;"",'F-TIV'!R151,"")</f>
        <v/>
      </c>
      <c r="G154" s="1505" t="str">
        <f>IF('F-TIV'!S151&lt;&gt;"",'F-TIV'!S151,"")</f>
        <v/>
      </c>
      <c r="H154" s="1501" t="str">
        <f>IF('F-TIV'!F151&lt;&gt;"",'F-TIV'!F151,"")</f>
        <v/>
      </c>
      <c r="I154" s="1500" t="str">
        <f>IF(AND(C154&lt;&gt;"",C154&lt;&gt;"Vacant",C154&lt;&gt;"Manager"),IF('F-TIV'!H151&lt;&gt;"",'F-TIV'!H151,""),"")</f>
        <v/>
      </c>
      <c r="J154" s="1500" t="str">
        <f>IF(AND(C154&lt;&gt;"",C154&lt;&gt;"Vacant",C154&lt;&gt;"Manager"),IF('F-TIV'!J151&lt;&gt;0,'F-TIV'!J151,"$0"),"")</f>
        <v/>
      </c>
      <c r="K154" s="1500" t="str">
        <f t="shared" si="46"/>
        <v/>
      </c>
      <c r="L154" s="1504" t="str">
        <f t="shared" si="47"/>
        <v/>
      </c>
      <c r="M154" s="1504" t="str">
        <f t="shared" si="48"/>
        <v/>
      </c>
      <c r="N154" s="1504" t="str">
        <f t="shared" si="49"/>
        <v/>
      </c>
      <c r="O154" s="1504" t="str">
        <f t="shared" si="50"/>
        <v/>
      </c>
      <c r="P154" s="1504" t="str">
        <f t="shared" si="51"/>
        <v/>
      </c>
      <c r="Q154" s="1504" t="str">
        <f t="shared" si="52"/>
        <v/>
      </c>
      <c r="R154" s="1504" t="str">
        <f t="shared" si="53"/>
        <v/>
      </c>
      <c r="S154" s="1504" t="str">
        <f t="shared" si="54"/>
        <v/>
      </c>
      <c r="T154" s="1504" t="str">
        <f t="shared" si="55"/>
        <v/>
      </c>
      <c r="U154" s="1504" t="str">
        <f t="shared" si="56"/>
        <v/>
      </c>
      <c r="V154" s="1503" t="str">
        <f>IF(AND(C154&lt;&gt;"",C154&lt;&gt;"Vacant",C154&lt;&gt;"Manager"),'F-TIV'!O151,"")</f>
        <v/>
      </c>
      <c r="W154" s="1502" t="str">
        <f>IF(AND(C154&lt;&gt;"",C154&lt;&gt;"Vacant",C154&lt;&gt;"Manager"),'F-TIV'!P151,"")</f>
        <v/>
      </c>
      <c r="X154" s="1498" t="str">
        <f t="shared" si="57"/>
        <v/>
      </c>
      <c r="Y154" s="1501" t="str">
        <f>IF('F-TIV'!G151&lt;&gt;"",'F-TIV'!G151,"")</f>
        <v/>
      </c>
      <c r="Z154" s="1500" t="str">
        <f>IF(AND(C154&lt;&gt;"",C154&lt;&gt;"Vacant",C154&lt;&gt;"Manager"),'F-TIV'!L151,"")</f>
        <v/>
      </c>
      <c r="AA154" s="1499" t="str">
        <f t="shared" si="58"/>
        <v/>
      </c>
      <c r="AB154" s="1498" t="str">
        <f t="shared" si="59"/>
        <v/>
      </c>
      <c r="AC154" s="1426"/>
      <c r="AD154" s="1426"/>
      <c r="AE154" s="1426"/>
      <c r="AG154" s="1497"/>
      <c r="AL154" s="1496"/>
      <c r="AN154" s="1496"/>
      <c r="AO154" s="1496"/>
      <c r="AP154" s="1496"/>
      <c r="AQ154" s="1496"/>
      <c r="AR154" s="1496"/>
    </row>
    <row r="155" spans="2:44" s="1442" customFormat="1" ht="11.25" customHeight="1">
      <c r="B155" s="1501" t="str">
        <f t="shared" si="45"/>
        <v>0</v>
      </c>
      <c r="C155" s="1506" t="str">
        <f>IF('F-TIV'!D152&lt;&gt;"",'F-TIV'!D152,"")</f>
        <v/>
      </c>
      <c r="D155" s="1501" t="str">
        <f>IF('F-TIV'!C152&lt;&gt;"",'F-TIV'!C152,"")</f>
        <v/>
      </c>
      <c r="E155" s="1502" t="str">
        <f>IF('F-TIV'!Q152&lt;&gt;"",'F-TIV'!Q152,"")</f>
        <v/>
      </c>
      <c r="F155" s="1502" t="str">
        <f>IF('F-TIV'!R152&lt;&gt;"",'F-TIV'!R152,"")</f>
        <v/>
      </c>
      <c r="G155" s="1505" t="str">
        <f>IF('F-TIV'!S152&lt;&gt;"",'F-TIV'!S152,"")</f>
        <v/>
      </c>
      <c r="H155" s="1501" t="str">
        <f>IF('F-TIV'!F152&lt;&gt;"",'F-TIV'!F152,"")</f>
        <v/>
      </c>
      <c r="I155" s="1500" t="str">
        <f>IF(AND(C155&lt;&gt;"",C155&lt;&gt;"Vacant",C155&lt;&gt;"Manager"),IF('F-TIV'!H152&lt;&gt;"",'F-TIV'!H152,""),"")</f>
        <v/>
      </c>
      <c r="J155" s="1500" t="str">
        <f>IF(AND(C155&lt;&gt;"",C155&lt;&gt;"Vacant",C155&lt;&gt;"Manager"),IF('F-TIV'!J152&lt;&gt;0,'F-TIV'!J152,"$0"),"")</f>
        <v/>
      </c>
      <c r="K155" s="1500" t="str">
        <f t="shared" si="46"/>
        <v/>
      </c>
      <c r="L155" s="1504" t="str">
        <f t="shared" si="47"/>
        <v/>
      </c>
      <c r="M155" s="1504" t="str">
        <f t="shared" si="48"/>
        <v/>
      </c>
      <c r="N155" s="1504" t="str">
        <f t="shared" si="49"/>
        <v/>
      </c>
      <c r="O155" s="1504" t="str">
        <f t="shared" si="50"/>
        <v/>
      </c>
      <c r="P155" s="1504" t="str">
        <f t="shared" si="51"/>
        <v/>
      </c>
      <c r="Q155" s="1504" t="str">
        <f t="shared" si="52"/>
        <v/>
      </c>
      <c r="R155" s="1504" t="str">
        <f t="shared" si="53"/>
        <v/>
      </c>
      <c r="S155" s="1504" t="str">
        <f t="shared" si="54"/>
        <v/>
      </c>
      <c r="T155" s="1504" t="str">
        <f t="shared" si="55"/>
        <v/>
      </c>
      <c r="U155" s="1504" t="str">
        <f t="shared" si="56"/>
        <v/>
      </c>
      <c r="V155" s="1503" t="str">
        <f>IF(AND(C155&lt;&gt;"",C155&lt;&gt;"Vacant",C155&lt;&gt;"Manager"),'F-TIV'!O152,"")</f>
        <v/>
      </c>
      <c r="W155" s="1502" t="str">
        <f>IF(AND(C155&lt;&gt;"",C155&lt;&gt;"Vacant",C155&lt;&gt;"Manager"),'F-TIV'!P152,"")</f>
        <v/>
      </c>
      <c r="X155" s="1498" t="str">
        <f t="shared" si="57"/>
        <v/>
      </c>
      <c r="Y155" s="1501" t="str">
        <f>IF('F-TIV'!G152&lt;&gt;"",'F-TIV'!G152,"")</f>
        <v/>
      </c>
      <c r="Z155" s="1500" t="str">
        <f>IF(AND(C155&lt;&gt;"",C155&lt;&gt;"Vacant",C155&lt;&gt;"Manager"),'F-TIV'!L152,"")</f>
        <v/>
      </c>
      <c r="AA155" s="1499" t="str">
        <f t="shared" si="58"/>
        <v/>
      </c>
      <c r="AB155" s="1498" t="str">
        <f t="shared" si="59"/>
        <v/>
      </c>
      <c r="AC155" s="1426"/>
      <c r="AD155" s="1426"/>
      <c r="AE155" s="1426"/>
      <c r="AG155" s="1497"/>
      <c r="AL155" s="1496"/>
      <c r="AN155" s="1496"/>
      <c r="AO155" s="1496"/>
      <c r="AP155" s="1496"/>
      <c r="AQ155" s="1496"/>
      <c r="AR155" s="1496"/>
    </row>
    <row r="156" spans="2:44" s="1442" customFormat="1" ht="11.25" customHeight="1">
      <c r="B156" s="1501" t="str">
        <f t="shared" si="45"/>
        <v>0</v>
      </c>
      <c r="C156" s="1506" t="str">
        <f>IF('F-TIV'!D153&lt;&gt;"",'F-TIV'!D153,"")</f>
        <v/>
      </c>
      <c r="D156" s="1501" t="str">
        <f>IF('F-TIV'!C153&lt;&gt;"",'F-TIV'!C153,"")</f>
        <v/>
      </c>
      <c r="E156" s="1502" t="str">
        <f>IF('F-TIV'!Q153&lt;&gt;"",'F-TIV'!Q153,"")</f>
        <v/>
      </c>
      <c r="F156" s="1502" t="str">
        <f>IF('F-TIV'!R153&lt;&gt;"",'F-TIV'!R153,"")</f>
        <v/>
      </c>
      <c r="G156" s="1505" t="str">
        <f>IF('F-TIV'!S153&lt;&gt;"",'F-TIV'!S153,"")</f>
        <v/>
      </c>
      <c r="H156" s="1501" t="str">
        <f>IF('F-TIV'!F153&lt;&gt;"",'F-TIV'!F153,"")</f>
        <v/>
      </c>
      <c r="I156" s="1500" t="str">
        <f>IF(AND(C156&lt;&gt;"",C156&lt;&gt;"Vacant",C156&lt;&gt;"Manager"),IF('F-TIV'!H153&lt;&gt;"",'F-TIV'!H153,""),"")</f>
        <v/>
      </c>
      <c r="J156" s="1500" t="str">
        <f>IF(AND(C156&lt;&gt;"",C156&lt;&gt;"Vacant",C156&lt;&gt;"Manager"),IF('F-TIV'!J153&lt;&gt;0,'F-TIV'!J153,"$0"),"")</f>
        <v/>
      </c>
      <c r="K156" s="1500" t="str">
        <f t="shared" si="46"/>
        <v/>
      </c>
      <c r="L156" s="1504" t="str">
        <f t="shared" si="47"/>
        <v/>
      </c>
      <c r="M156" s="1504" t="str">
        <f t="shared" si="48"/>
        <v/>
      </c>
      <c r="N156" s="1504" t="str">
        <f t="shared" si="49"/>
        <v/>
      </c>
      <c r="O156" s="1504" t="str">
        <f t="shared" si="50"/>
        <v/>
      </c>
      <c r="P156" s="1504" t="str">
        <f t="shared" si="51"/>
        <v/>
      </c>
      <c r="Q156" s="1504" t="str">
        <f t="shared" si="52"/>
        <v/>
      </c>
      <c r="R156" s="1504" t="str">
        <f t="shared" si="53"/>
        <v/>
      </c>
      <c r="S156" s="1504" t="str">
        <f t="shared" si="54"/>
        <v/>
      </c>
      <c r="T156" s="1504" t="str">
        <f t="shared" si="55"/>
        <v/>
      </c>
      <c r="U156" s="1504" t="str">
        <f t="shared" si="56"/>
        <v/>
      </c>
      <c r="V156" s="1503" t="str">
        <f>IF(AND(C156&lt;&gt;"",C156&lt;&gt;"Vacant",C156&lt;&gt;"Manager"),'F-TIV'!O153,"")</f>
        <v/>
      </c>
      <c r="W156" s="1502" t="str">
        <f>IF(AND(C156&lt;&gt;"",C156&lt;&gt;"Vacant",C156&lt;&gt;"Manager"),'F-TIV'!P153,"")</f>
        <v/>
      </c>
      <c r="X156" s="1498" t="str">
        <f t="shared" si="57"/>
        <v/>
      </c>
      <c r="Y156" s="1501" t="str">
        <f>IF('F-TIV'!G153&lt;&gt;"",'F-TIV'!G153,"")</f>
        <v/>
      </c>
      <c r="Z156" s="1500" t="str">
        <f>IF(AND(C156&lt;&gt;"",C156&lt;&gt;"Vacant",C156&lt;&gt;"Manager"),'F-TIV'!L153,"")</f>
        <v/>
      </c>
      <c r="AA156" s="1499" t="str">
        <f t="shared" si="58"/>
        <v/>
      </c>
      <c r="AB156" s="1498" t="str">
        <f t="shared" si="59"/>
        <v/>
      </c>
      <c r="AC156" s="1426"/>
      <c r="AD156" s="1426"/>
      <c r="AE156" s="1426"/>
      <c r="AG156" s="1497"/>
      <c r="AL156" s="1496"/>
      <c r="AN156" s="1496"/>
      <c r="AO156" s="1496"/>
      <c r="AP156" s="1496"/>
      <c r="AQ156" s="1496"/>
      <c r="AR156" s="1496"/>
    </row>
    <row r="157" spans="2:44" s="1442" customFormat="1" ht="11.25" customHeight="1">
      <c r="B157" s="1501" t="str">
        <f t="shared" si="45"/>
        <v>0</v>
      </c>
      <c r="C157" s="1506" t="str">
        <f>IF('F-TIV'!D154&lt;&gt;"",'F-TIV'!D154,"")</f>
        <v/>
      </c>
      <c r="D157" s="1501" t="str">
        <f>IF('F-TIV'!C154&lt;&gt;"",'F-TIV'!C154,"")</f>
        <v/>
      </c>
      <c r="E157" s="1502" t="str">
        <f>IF('F-TIV'!Q154&lt;&gt;"",'F-TIV'!Q154,"")</f>
        <v/>
      </c>
      <c r="F157" s="1502" t="str">
        <f>IF('F-TIV'!R154&lt;&gt;"",'F-TIV'!R154,"")</f>
        <v/>
      </c>
      <c r="G157" s="1505" t="str">
        <f>IF('F-TIV'!S154&lt;&gt;"",'F-TIV'!S154,"")</f>
        <v/>
      </c>
      <c r="H157" s="1501" t="str">
        <f>IF('F-TIV'!F154&lt;&gt;"",'F-TIV'!F154,"")</f>
        <v/>
      </c>
      <c r="I157" s="1500" t="str">
        <f>IF(AND(C157&lt;&gt;"",C157&lt;&gt;"Vacant",C157&lt;&gt;"Manager"),IF('F-TIV'!H154&lt;&gt;"",'F-TIV'!H154,""),"")</f>
        <v/>
      </c>
      <c r="J157" s="1500" t="str">
        <f>IF(AND(C157&lt;&gt;"",C157&lt;&gt;"Vacant",C157&lt;&gt;"Manager"),IF('F-TIV'!J154&lt;&gt;0,'F-TIV'!J154,"$0"),"")</f>
        <v/>
      </c>
      <c r="K157" s="1500" t="str">
        <f t="shared" si="46"/>
        <v/>
      </c>
      <c r="L157" s="1504" t="str">
        <f t="shared" si="47"/>
        <v/>
      </c>
      <c r="M157" s="1504" t="str">
        <f t="shared" si="48"/>
        <v/>
      </c>
      <c r="N157" s="1504" t="str">
        <f t="shared" si="49"/>
        <v/>
      </c>
      <c r="O157" s="1504" t="str">
        <f t="shared" si="50"/>
        <v/>
      </c>
      <c r="P157" s="1504" t="str">
        <f t="shared" si="51"/>
        <v/>
      </c>
      <c r="Q157" s="1504" t="str">
        <f t="shared" si="52"/>
        <v/>
      </c>
      <c r="R157" s="1504" t="str">
        <f t="shared" si="53"/>
        <v/>
      </c>
      <c r="S157" s="1504" t="str">
        <f t="shared" si="54"/>
        <v/>
      </c>
      <c r="T157" s="1504" t="str">
        <f t="shared" si="55"/>
        <v/>
      </c>
      <c r="U157" s="1504" t="str">
        <f t="shared" si="56"/>
        <v/>
      </c>
      <c r="V157" s="1503" t="str">
        <f>IF(AND(C157&lt;&gt;"",C157&lt;&gt;"Vacant",C157&lt;&gt;"Manager"),'F-TIV'!O154,"")</f>
        <v/>
      </c>
      <c r="W157" s="1502" t="str">
        <f>IF(AND(C157&lt;&gt;"",C157&lt;&gt;"Vacant",C157&lt;&gt;"Manager"),'F-TIV'!P154,"")</f>
        <v/>
      </c>
      <c r="X157" s="1498" t="str">
        <f t="shared" si="57"/>
        <v/>
      </c>
      <c r="Y157" s="1501" t="str">
        <f>IF('F-TIV'!G154&lt;&gt;"",'F-TIV'!G154,"")</f>
        <v/>
      </c>
      <c r="Z157" s="1500" t="str">
        <f>IF(AND(C157&lt;&gt;"",C157&lt;&gt;"Vacant",C157&lt;&gt;"Manager"),'F-TIV'!L154,"")</f>
        <v/>
      </c>
      <c r="AA157" s="1499" t="str">
        <f t="shared" si="58"/>
        <v/>
      </c>
      <c r="AB157" s="1498" t="str">
        <f t="shared" si="59"/>
        <v/>
      </c>
      <c r="AC157" s="1426"/>
      <c r="AD157" s="1426"/>
      <c r="AE157" s="1426"/>
      <c r="AG157" s="1497"/>
      <c r="AL157" s="1496"/>
      <c r="AN157" s="1496"/>
      <c r="AO157" s="1496"/>
      <c r="AP157" s="1496"/>
      <c r="AQ157" s="1496"/>
      <c r="AR157" s="1496"/>
    </row>
    <row r="158" spans="2:44" s="1442" customFormat="1" ht="11.25" customHeight="1">
      <c r="B158" s="1501" t="str">
        <f t="shared" ref="B158:B189" si="60">IF((C158&lt;&gt;""),"1","0")</f>
        <v>0</v>
      </c>
      <c r="C158" s="1506" t="str">
        <f>IF('F-TIV'!D155&lt;&gt;"",'F-TIV'!D155,"")</f>
        <v/>
      </c>
      <c r="D158" s="1501" t="str">
        <f>IF('F-TIV'!C155&lt;&gt;"",'F-TIV'!C155,"")</f>
        <v/>
      </c>
      <c r="E158" s="1502" t="str">
        <f>IF('F-TIV'!Q155&lt;&gt;"",'F-TIV'!Q155,"")</f>
        <v/>
      </c>
      <c r="F158" s="1502" t="str">
        <f>IF('F-TIV'!R155&lt;&gt;"",'F-TIV'!R155,"")</f>
        <v/>
      </c>
      <c r="G158" s="1505" t="str">
        <f>IF('F-TIV'!S155&lt;&gt;"",'F-TIV'!S155,"")</f>
        <v/>
      </c>
      <c r="H158" s="1501" t="str">
        <f>IF('F-TIV'!F155&lt;&gt;"",'F-TIV'!F155,"")</f>
        <v/>
      </c>
      <c r="I158" s="1500" t="str">
        <f>IF(AND(C158&lt;&gt;"",C158&lt;&gt;"Vacant",C158&lt;&gt;"Manager"),IF('F-TIV'!H155&lt;&gt;"",'F-TIV'!H155,""),"")</f>
        <v/>
      </c>
      <c r="J158" s="1500" t="str">
        <f>IF(AND(C158&lt;&gt;"",C158&lt;&gt;"Vacant",C158&lt;&gt;"Manager"),IF('F-TIV'!J155&lt;&gt;0,'F-TIV'!J155,"$0"),"")</f>
        <v/>
      </c>
      <c r="K158" s="1500" t="str">
        <f t="shared" ref="K158:K189" si="61">IFERROR(I158-J158,"")</f>
        <v/>
      </c>
      <c r="L158" s="1504" t="str">
        <f t="shared" ref="L158:L189" si="62">IF(AND(C158&lt;&gt;"Vacant",C158&lt;&gt;"Manager",C158&lt;&gt;""),IF(C158="","",IF(H158="Studio",_VLI1,IF(H158=1,_VLI2,IF(H158=2,_VLI3,IF(H158=3,_VLI5,IF(H158=4,_VLI6,IF(H158=5,_VLI7,_VLI8))))))),"")</f>
        <v/>
      </c>
      <c r="M158" s="1504" t="str">
        <f t="shared" ref="M158:M189" si="63">IF(AND(C158&lt;&gt;"Vacant",C158&lt;&gt;"",C158&lt;&gt;"Manager"),(IF(L158&gt;=K158,"Yes",IF(L158&lt;K158,"No"))),"")</f>
        <v/>
      </c>
      <c r="N158" s="1504" t="str">
        <f t="shared" ref="N158:N189" si="64">IF(AND(C158&lt;&gt;"Vacant",C158&lt;&gt;"",C158&lt;&gt;"Manager"),IF(H158="","",IF(H158="Studio",RENT1,IF(H158=1,RENT2,IF(H158=2,RENT3,IF(H158=3,RENT5,IF(H158=4,RENT6,IF(H158=5,RENT7,RENT8))))))),"")</f>
        <v/>
      </c>
      <c r="O158" s="1504" t="str">
        <f t="shared" ref="O158:O189" si="65">IF(AND(C158&lt;&gt;"Vacant",C158&lt;&gt;"",C158&lt;&gt;"Manager"),(IF(N158&gt;=K158,"Yes",IF(N158&lt;K158,"No"))),"")</f>
        <v/>
      </c>
      <c r="P158" s="1504" t="str">
        <f t="shared" ref="P158:P189" si="66">IF(AND(C158&lt;&gt;"Vacant", C158&lt;&gt;"Manager",C158&lt;&gt;""),IF(H158="","",IF(H158="Studio",RENTA1,IF(H158=1,RENTA2,IF(H158=2,RENTA3,IF(H158=3,RENTA5,IF(H158=4,RENTA6,IF(H158=5,RENTA7,RENTA8))))))),"")</f>
        <v/>
      </c>
      <c r="Q158" s="1504" t="str">
        <f t="shared" ref="Q158:Q189" si="67">IF(AND(C158&lt;&gt;"Vacant",C158&lt;&gt;"",C158&lt;&gt;"Manager"),(IF(P158&gt;=K158,"Yes",IF(P158&lt;K158,"No"))),"")</f>
        <v/>
      </c>
      <c r="R158" s="1504" t="str">
        <f t="shared" ref="R158:R189" si="68">IF(AND(C158&lt;&gt;"Vacant",C158&lt;&gt;"Manager",C158&lt;&gt;""),IF(H158="","",IF(H158="Studio",$F$16,IF(H158=1,$G$16,IF(H158=2,$H$16,IF(H158=3,$J$16,IF(H158=4,$K$16,IF(H158=5,$L$16,$M$16))))))),"")</f>
        <v/>
      </c>
      <c r="S158" s="1504" t="str">
        <f t="shared" ref="S158:S189" si="69">IF(AND(C158&lt;&gt;"Vacant",C158&lt;&gt;"",C158&lt;&gt;"Manager"),(IF(R158&gt;=K158,"Yes",IF(R158&lt;K158,"No"))),"")</f>
        <v/>
      </c>
      <c r="T158" s="1504" t="str">
        <f t="shared" ref="T158:T189" si="70">IF(AND(C158&lt;&gt;"Vacant",C158&lt;&gt;"Manager",C158&lt;&gt;""),IF(C158="","",IF(H158="Studio",$F$17,IF(H158=1,$G$17,IF(H158=2,$H$17,IF(H158=3,$J$17,IF(H158=4,$K$17,IF(H158=5,$L$17,$M$17))))))),"")</f>
        <v/>
      </c>
      <c r="U158" s="1504" t="str">
        <f t="shared" ref="U158:U189" si="71">IF(AND(C158&lt;&gt;"Vacant",C158&lt;&gt;"",C158&lt;&gt;"Manager"),(IF(T158&gt;=K158,"Yes",IF(T158&lt;K158,"No"))),"")</f>
        <v/>
      </c>
      <c r="V158" s="1503" t="str">
        <f>IF(AND(C158&lt;&gt;"",C158&lt;&gt;"Vacant",C158&lt;&gt;"Manager"),'F-TIV'!O155,"")</f>
        <v/>
      </c>
      <c r="W158" s="1502" t="str">
        <f>IF(AND(C158&lt;&gt;"",C158&lt;&gt;"Vacant",C158&lt;&gt;"Manager"),'F-TIV'!P155,"")</f>
        <v/>
      </c>
      <c r="X158" s="1498" t="str">
        <f t="shared" ref="X158:X189" si="72">IFERROR(IF(AND(C158&lt;&gt;"",C158&lt;&gt;"Vacant",C158&lt;&gt;"Manager",Z158&gt;=0),K158*12/Z158,""),"0.0%")</f>
        <v/>
      </c>
      <c r="Y158" s="1501" t="str">
        <f>IF('F-TIV'!G155&lt;&gt;"",'F-TIV'!G155,"")</f>
        <v/>
      </c>
      <c r="Z158" s="1500" t="str">
        <f>IF(AND(C158&lt;&gt;"",C158&lt;&gt;"Vacant",C158&lt;&gt;"Manager"),'F-TIV'!L155,"")</f>
        <v/>
      </c>
      <c r="AA158" s="1499" t="str">
        <f t="shared" ref="AA158:AA189" si="73">IF(AND(C158&lt;&gt;"Vacant",C158&lt;&gt;"",C158&lt;&gt;"Manager"),IF(C158=0,"",IF(Y158=1,_PER1,IF(Y158=2,_PER2,IF(Y158=3,_PER3,IF(Y158=4,_PER4,IF(Y158=5,_PER5,IF(Y158=6,_PER6,IF(Y158=7,_PER7,_PER8)))))))),"")</f>
        <v/>
      </c>
      <c r="AB158" s="1498" t="str">
        <f t="shared" ref="AB158:AB189" si="74">IFERROR(IF(AND(C158&lt;&gt;"",C158&lt;&gt;"Vacant",C158&lt;&gt;"Manager"),ROUNDDOWN(Z158/AA158,2),""),"0.0%")</f>
        <v/>
      </c>
      <c r="AC158" s="1426"/>
      <c r="AD158" s="1426"/>
      <c r="AE158" s="1426"/>
      <c r="AG158" s="1497"/>
      <c r="AL158" s="1496"/>
      <c r="AN158" s="1496"/>
      <c r="AO158" s="1496"/>
      <c r="AP158" s="1496"/>
      <c r="AQ158" s="1496"/>
      <c r="AR158" s="1496"/>
    </row>
    <row r="159" spans="2:44" s="1442" customFormat="1" ht="11.25" customHeight="1">
      <c r="B159" s="1501" t="str">
        <f t="shared" si="60"/>
        <v>0</v>
      </c>
      <c r="C159" s="1506" t="str">
        <f>IF('F-TIV'!D156&lt;&gt;"",'F-TIV'!D156,"")</f>
        <v/>
      </c>
      <c r="D159" s="1501" t="str">
        <f>IF('F-TIV'!C156&lt;&gt;"",'F-TIV'!C156,"")</f>
        <v/>
      </c>
      <c r="E159" s="1502" t="str">
        <f>IF('F-TIV'!Q156&lt;&gt;"",'F-TIV'!Q156,"")</f>
        <v/>
      </c>
      <c r="F159" s="1502" t="str">
        <f>IF('F-TIV'!R156&lt;&gt;"",'F-TIV'!R156,"")</f>
        <v/>
      </c>
      <c r="G159" s="1505" t="str">
        <f>IF('F-TIV'!S156&lt;&gt;"",'F-TIV'!S156,"")</f>
        <v/>
      </c>
      <c r="H159" s="1501" t="str">
        <f>IF('F-TIV'!F156&lt;&gt;"",'F-TIV'!F156,"")</f>
        <v/>
      </c>
      <c r="I159" s="1500" t="str">
        <f>IF(AND(C159&lt;&gt;"",C159&lt;&gt;"Vacant",C159&lt;&gt;"Manager"),IF('F-TIV'!H156&lt;&gt;"",'F-TIV'!H156,""),"")</f>
        <v/>
      </c>
      <c r="J159" s="1500" t="str">
        <f>IF(AND(C159&lt;&gt;"",C159&lt;&gt;"Vacant",C159&lt;&gt;"Manager"),IF('F-TIV'!J156&lt;&gt;0,'F-TIV'!J156,"$0"),"")</f>
        <v/>
      </c>
      <c r="K159" s="1500" t="str">
        <f t="shared" si="61"/>
        <v/>
      </c>
      <c r="L159" s="1504" t="str">
        <f t="shared" si="62"/>
        <v/>
      </c>
      <c r="M159" s="1504" t="str">
        <f t="shared" si="63"/>
        <v/>
      </c>
      <c r="N159" s="1504" t="str">
        <f t="shared" si="64"/>
        <v/>
      </c>
      <c r="O159" s="1504" t="str">
        <f t="shared" si="65"/>
        <v/>
      </c>
      <c r="P159" s="1504" t="str">
        <f t="shared" si="66"/>
        <v/>
      </c>
      <c r="Q159" s="1504" t="str">
        <f t="shared" si="67"/>
        <v/>
      </c>
      <c r="R159" s="1504" t="str">
        <f t="shared" si="68"/>
        <v/>
      </c>
      <c r="S159" s="1504" t="str">
        <f t="shared" si="69"/>
        <v/>
      </c>
      <c r="T159" s="1504" t="str">
        <f t="shared" si="70"/>
        <v/>
      </c>
      <c r="U159" s="1504" t="str">
        <f t="shared" si="71"/>
        <v/>
      </c>
      <c r="V159" s="1503" t="str">
        <f>IF(AND(C159&lt;&gt;"",C159&lt;&gt;"Vacant",C159&lt;&gt;"Manager"),'F-TIV'!O156,"")</f>
        <v/>
      </c>
      <c r="W159" s="1502" t="str">
        <f>IF(AND(C159&lt;&gt;"",C159&lt;&gt;"Vacant",C159&lt;&gt;"Manager"),'F-TIV'!P156,"")</f>
        <v/>
      </c>
      <c r="X159" s="1498" t="str">
        <f t="shared" si="72"/>
        <v/>
      </c>
      <c r="Y159" s="1501" t="str">
        <f>IF('F-TIV'!G156&lt;&gt;"",'F-TIV'!G156,"")</f>
        <v/>
      </c>
      <c r="Z159" s="1500" t="str">
        <f>IF(AND(C159&lt;&gt;"",C159&lt;&gt;"Vacant",C159&lt;&gt;"Manager"),'F-TIV'!L156,"")</f>
        <v/>
      </c>
      <c r="AA159" s="1499" t="str">
        <f t="shared" si="73"/>
        <v/>
      </c>
      <c r="AB159" s="1498" t="str">
        <f t="shared" si="74"/>
        <v/>
      </c>
      <c r="AC159" s="1426"/>
      <c r="AD159" s="1426"/>
      <c r="AE159" s="1426"/>
      <c r="AG159" s="1497"/>
      <c r="AL159" s="1496"/>
      <c r="AN159" s="1496"/>
      <c r="AO159" s="1496"/>
      <c r="AP159" s="1496"/>
      <c r="AQ159" s="1496"/>
      <c r="AR159" s="1496"/>
    </row>
    <row r="160" spans="2:44" s="1442" customFormat="1" ht="11.25" customHeight="1">
      <c r="B160" s="1501" t="str">
        <f t="shared" si="60"/>
        <v>0</v>
      </c>
      <c r="C160" s="1506" t="str">
        <f>IF('F-TIV'!D157&lt;&gt;"",'F-TIV'!D157,"")</f>
        <v/>
      </c>
      <c r="D160" s="1501" t="str">
        <f>IF('F-TIV'!C157&lt;&gt;"",'F-TIV'!C157,"")</f>
        <v/>
      </c>
      <c r="E160" s="1502" t="str">
        <f>IF('F-TIV'!Q157&lt;&gt;"",'F-TIV'!Q157,"")</f>
        <v/>
      </c>
      <c r="F160" s="1502" t="str">
        <f>IF('F-TIV'!R157&lt;&gt;"",'F-TIV'!R157,"")</f>
        <v/>
      </c>
      <c r="G160" s="1505" t="str">
        <f>IF('F-TIV'!S157&lt;&gt;"",'F-TIV'!S157,"")</f>
        <v/>
      </c>
      <c r="H160" s="1501" t="str">
        <f>IF('F-TIV'!F157&lt;&gt;"",'F-TIV'!F157,"")</f>
        <v/>
      </c>
      <c r="I160" s="1500" t="str">
        <f>IF(AND(C160&lt;&gt;"",C160&lt;&gt;"Vacant",C160&lt;&gt;"Manager"),IF('F-TIV'!H157&lt;&gt;"",'F-TIV'!H157,""),"")</f>
        <v/>
      </c>
      <c r="J160" s="1500" t="str">
        <f>IF(AND(C160&lt;&gt;"",C160&lt;&gt;"Vacant",C160&lt;&gt;"Manager"),IF('F-TIV'!J157&lt;&gt;0,'F-TIV'!J157,"$0"),"")</f>
        <v/>
      </c>
      <c r="K160" s="1500" t="str">
        <f t="shared" si="61"/>
        <v/>
      </c>
      <c r="L160" s="1504" t="str">
        <f t="shared" si="62"/>
        <v/>
      </c>
      <c r="M160" s="1504" t="str">
        <f t="shared" si="63"/>
        <v/>
      </c>
      <c r="N160" s="1504" t="str">
        <f t="shared" si="64"/>
        <v/>
      </c>
      <c r="O160" s="1504" t="str">
        <f t="shared" si="65"/>
        <v/>
      </c>
      <c r="P160" s="1504" t="str">
        <f t="shared" si="66"/>
        <v/>
      </c>
      <c r="Q160" s="1504" t="str">
        <f t="shared" si="67"/>
        <v/>
      </c>
      <c r="R160" s="1504" t="str">
        <f t="shared" si="68"/>
        <v/>
      </c>
      <c r="S160" s="1504" t="str">
        <f t="shared" si="69"/>
        <v/>
      </c>
      <c r="T160" s="1504" t="str">
        <f t="shared" si="70"/>
        <v/>
      </c>
      <c r="U160" s="1504" t="str">
        <f t="shared" si="71"/>
        <v/>
      </c>
      <c r="V160" s="1503" t="str">
        <f>IF(AND(C160&lt;&gt;"",C160&lt;&gt;"Vacant",C160&lt;&gt;"Manager"),'F-TIV'!O157,"")</f>
        <v/>
      </c>
      <c r="W160" s="1502" t="str">
        <f>IF(AND(C160&lt;&gt;"",C160&lt;&gt;"Vacant",C160&lt;&gt;"Manager"),'F-TIV'!P157,"")</f>
        <v/>
      </c>
      <c r="X160" s="1498" t="str">
        <f t="shared" si="72"/>
        <v/>
      </c>
      <c r="Y160" s="1501" t="str">
        <f>IF('F-TIV'!G157&lt;&gt;"",'F-TIV'!G157,"")</f>
        <v/>
      </c>
      <c r="Z160" s="1500" t="str">
        <f>IF(AND(C160&lt;&gt;"",C160&lt;&gt;"Vacant",C160&lt;&gt;"Manager"),'F-TIV'!L157,"")</f>
        <v/>
      </c>
      <c r="AA160" s="1499" t="str">
        <f t="shared" si="73"/>
        <v/>
      </c>
      <c r="AB160" s="1498" t="str">
        <f t="shared" si="74"/>
        <v/>
      </c>
      <c r="AC160" s="1426"/>
      <c r="AD160" s="1426"/>
      <c r="AE160" s="1426"/>
      <c r="AG160" s="1497"/>
      <c r="AL160" s="1496"/>
      <c r="AN160" s="1496"/>
      <c r="AO160" s="1496"/>
      <c r="AP160" s="1496"/>
      <c r="AQ160" s="1496"/>
      <c r="AR160" s="1496"/>
    </row>
    <row r="161" spans="2:44" s="1442" customFormat="1" ht="11.25" customHeight="1">
      <c r="B161" s="1501" t="str">
        <f t="shared" si="60"/>
        <v>0</v>
      </c>
      <c r="C161" s="1506" t="str">
        <f>IF('F-TIV'!D158&lt;&gt;"",'F-TIV'!D158,"")</f>
        <v/>
      </c>
      <c r="D161" s="1501" t="str">
        <f>IF('F-TIV'!C158&lt;&gt;"",'F-TIV'!C158,"")</f>
        <v/>
      </c>
      <c r="E161" s="1502" t="str">
        <f>IF('F-TIV'!Q158&lt;&gt;"",'F-TIV'!Q158,"")</f>
        <v/>
      </c>
      <c r="F161" s="1502" t="str">
        <f>IF('F-TIV'!R158&lt;&gt;"",'F-TIV'!R158,"")</f>
        <v/>
      </c>
      <c r="G161" s="1505" t="str">
        <f>IF('F-TIV'!S158&lt;&gt;"",'F-TIV'!S158,"")</f>
        <v/>
      </c>
      <c r="H161" s="1501" t="str">
        <f>IF('F-TIV'!F158&lt;&gt;"",'F-TIV'!F158,"")</f>
        <v/>
      </c>
      <c r="I161" s="1500" t="str">
        <f>IF(AND(C161&lt;&gt;"",C161&lt;&gt;"Vacant",C161&lt;&gt;"Manager"),IF('F-TIV'!H158&lt;&gt;"",'F-TIV'!H158,""),"")</f>
        <v/>
      </c>
      <c r="J161" s="1500" t="str">
        <f>IF(AND(C161&lt;&gt;"",C161&lt;&gt;"Vacant",C161&lt;&gt;"Manager"),IF('F-TIV'!J158&lt;&gt;0,'F-TIV'!J158,"$0"),"")</f>
        <v/>
      </c>
      <c r="K161" s="1500" t="str">
        <f t="shared" si="61"/>
        <v/>
      </c>
      <c r="L161" s="1504" t="str">
        <f t="shared" si="62"/>
        <v/>
      </c>
      <c r="M161" s="1504" t="str">
        <f t="shared" si="63"/>
        <v/>
      </c>
      <c r="N161" s="1504" t="str">
        <f t="shared" si="64"/>
        <v/>
      </c>
      <c r="O161" s="1504" t="str">
        <f t="shared" si="65"/>
        <v/>
      </c>
      <c r="P161" s="1504" t="str">
        <f t="shared" si="66"/>
        <v/>
      </c>
      <c r="Q161" s="1504" t="str">
        <f t="shared" si="67"/>
        <v/>
      </c>
      <c r="R161" s="1504" t="str">
        <f t="shared" si="68"/>
        <v/>
      </c>
      <c r="S161" s="1504" t="str">
        <f t="shared" si="69"/>
        <v/>
      </c>
      <c r="T161" s="1504" t="str">
        <f t="shared" si="70"/>
        <v/>
      </c>
      <c r="U161" s="1504" t="str">
        <f t="shared" si="71"/>
        <v/>
      </c>
      <c r="V161" s="1503" t="str">
        <f>IF(AND(C161&lt;&gt;"",C161&lt;&gt;"Vacant",C161&lt;&gt;"Manager"),'F-TIV'!O158,"")</f>
        <v/>
      </c>
      <c r="W161" s="1502" t="str">
        <f>IF(AND(C161&lt;&gt;"",C161&lt;&gt;"Vacant",C161&lt;&gt;"Manager"),'F-TIV'!P158,"")</f>
        <v/>
      </c>
      <c r="X161" s="1498" t="str">
        <f t="shared" si="72"/>
        <v/>
      </c>
      <c r="Y161" s="1501" t="str">
        <f>IF('F-TIV'!G158&lt;&gt;"",'F-TIV'!G158,"")</f>
        <v/>
      </c>
      <c r="Z161" s="1500" t="str">
        <f>IF(AND(C161&lt;&gt;"",C161&lt;&gt;"Vacant",C161&lt;&gt;"Manager"),'F-TIV'!L158,"")</f>
        <v/>
      </c>
      <c r="AA161" s="1499" t="str">
        <f t="shared" si="73"/>
        <v/>
      </c>
      <c r="AB161" s="1498" t="str">
        <f t="shared" si="74"/>
        <v/>
      </c>
      <c r="AC161" s="1426"/>
      <c r="AD161" s="1426"/>
      <c r="AE161" s="1426"/>
      <c r="AG161" s="1497"/>
      <c r="AL161" s="1496"/>
      <c r="AN161" s="1496"/>
      <c r="AO161" s="1496"/>
      <c r="AP161" s="1496"/>
      <c r="AQ161" s="1496"/>
      <c r="AR161" s="1496"/>
    </row>
    <row r="162" spans="2:44" s="1442" customFormat="1" ht="11.25" customHeight="1">
      <c r="B162" s="1501" t="str">
        <f t="shared" si="60"/>
        <v>0</v>
      </c>
      <c r="C162" s="1506" t="str">
        <f>IF('F-TIV'!D159&lt;&gt;"",'F-TIV'!D159,"")</f>
        <v/>
      </c>
      <c r="D162" s="1501" t="str">
        <f>IF('F-TIV'!C159&lt;&gt;"",'F-TIV'!C159,"")</f>
        <v/>
      </c>
      <c r="E162" s="1502" t="str">
        <f>IF('F-TIV'!Q159&lt;&gt;"",'F-TIV'!Q159,"")</f>
        <v/>
      </c>
      <c r="F162" s="1502" t="str">
        <f>IF('F-TIV'!R159&lt;&gt;"",'F-TIV'!R159,"")</f>
        <v/>
      </c>
      <c r="G162" s="1505" t="str">
        <f>IF('F-TIV'!S159&lt;&gt;"",'F-TIV'!S159,"")</f>
        <v/>
      </c>
      <c r="H162" s="1501" t="str">
        <f>IF('F-TIV'!F159&lt;&gt;"",'F-TIV'!F159,"")</f>
        <v/>
      </c>
      <c r="I162" s="1500" t="str">
        <f>IF(AND(C162&lt;&gt;"",C162&lt;&gt;"Vacant",C162&lt;&gt;"Manager"),IF('F-TIV'!H159&lt;&gt;"",'F-TIV'!H159,""),"")</f>
        <v/>
      </c>
      <c r="J162" s="1500" t="str">
        <f>IF(AND(C162&lt;&gt;"",C162&lt;&gt;"Vacant",C162&lt;&gt;"Manager"),IF('F-TIV'!J159&lt;&gt;0,'F-TIV'!J159,"$0"),"")</f>
        <v/>
      </c>
      <c r="K162" s="1500" t="str">
        <f t="shared" si="61"/>
        <v/>
      </c>
      <c r="L162" s="1504" t="str">
        <f t="shared" si="62"/>
        <v/>
      </c>
      <c r="M162" s="1504" t="str">
        <f t="shared" si="63"/>
        <v/>
      </c>
      <c r="N162" s="1504" t="str">
        <f t="shared" si="64"/>
        <v/>
      </c>
      <c r="O162" s="1504" t="str">
        <f t="shared" si="65"/>
        <v/>
      </c>
      <c r="P162" s="1504" t="str">
        <f t="shared" si="66"/>
        <v/>
      </c>
      <c r="Q162" s="1504" t="str">
        <f t="shared" si="67"/>
        <v/>
      </c>
      <c r="R162" s="1504" t="str">
        <f t="shared" si="68"/>
        <v/>
      </c>
      <c r="S162" s="1504" t="str">
        <f t="shared" si="69"/>
        <v/>
      </c>
      <c r="T162" s="1504" t="str">
        <f t="shared" si="70"/>
        <v/>
      </c>
      <c r="U162" s="1504" t="str">
        <f t="shared" si="71"/>
        <v/>
      </c>
      <c r="V162" s="1503" t="str">
        <f>IF(AND(C162&lt;&gt;"",C162&lt;&gt;"Vacant",C162&lt;&gt;"Manager"),'F-TIV'!O159,"")</f>
        <v/>
      </c>
      <c r="W162" s="1502" t="str">
        <f>IF(AND(C162&lt;&gt;"",C162&lt;&gt;"Vacant",C162&lt;&gt;"Manager"),'F-TIV'!P159,"")</f>
        <v/>
      </c>
      <c r="X162" s="1498" t="str">
        <f t="shared" si="72"/>
        <v/>
      </c>
      <c r="Y162" s="1501" t="str">
        <f>IF('F-TIV'!G159&lt;&gt;"",'F-TIV'!G159,"")</f>
        <v/>
      </c>
      <c r="Z162" s="1500" t="str">
        <f>IF(AND(C162&lt;&gt;"",C162&lt;&gt;"Vacant",C162&lt;&gt;"Manager"),'F-TIV'!L159,"")</f>
        <v/>
      </c>
      <c r="AA162" s="1499" t="str">
        <f t="shared" si="73"/>
        <v/>
      </c>
      <c r="AB162" s="1498" t="str">
        <f t="shared" si="74"/>
        <v/>
      </c>
      <c r="AC162" s="1426"/>
      <c r="AD162" s="1426"/>
      <c r="AE162" s="1426"/>
      <c r="AG162" s="1497"/>
      <c r="AL162" s="1496"/>
      <c r="AN162" s="1496"/>
      <c r="AO162" s="1496"/>
      <c r="AP162" s="1496"/>
      <c r="AQ162" s="1496"/>
      <c r="AR162" s="1496"/>
    </row>
    <row r="163" spans="2:44" s="1442" customFormat="1" ht="11.25" customHeight="1">
      <c r="B163" s="1501" t="str">
        <f t="shared" si="60"/>
        <v>0</v>
      </c>
      <c r="C163" s="1506" t="str">
        <f>IF('F-TIV'!D160&lt;&gt;"",'F-TIV'!D160,"")</f>
        <v/>
      </c>
      <c r="D163" s="1501" t="str">
        <f>IF('F-TIV'!C160&lt;&gt;"",'F-TIV'!C160,"")</f>
        <v/>
      </c>
      <c r="E163" s="1502" t="str">
        <f>IF('F-TIV'!Q160&lt;&gt;"",'F-TIV'!Q160,"")</f>
        <v/>
      </c>
      <c r="F163" s="1502" t="str">
        <f>IF('F-TIV'!R160&lt;&gt;"",'F-TIV'!R160,"")</f>
        <v/>
      </c>
      <c r="G163" s="1505" t="str">
        <f>IF('F-TIV'!S160&lt;&gt;"",'F-TIV'!S160,"")</f>
        <v/>
      </c>
      <c r="H163" s="1501" t="str">
        <f>IF('F-TIV'!F160&lt;&gt;"",'F-TIV'!F160,"")</f>
        <v/>
      </c>
      <c r="I163" s="1500" t="str">
        <f>IF(AND(C163&lt;&gt;"",C163&lt;&gt;"Vacant",C163&lt;&gt;"Manager"),IF('F-TIV'!H160&lt;&gt;"",'F-TIV'!H160,""),"")</f>
        <v/>
      </c>
      <c r="J163" s="1500" t="str">
        <f>IF(AND(C163&lt;&gt;"",C163&lt;&gt;"Vacant",C163&lt;&gt;"Manager"),IF('F-TIV'!J160&lt;&gt;0,'F-TIV'!J160,"$0"),"")</f>
        <v/>
      </c>
      <c r="K163" s="1500" t="str">
        <f t="shared" si="61"/>
        <v/>
      </c>
      <c r="L163" s="1504" t="str">
        <f t="shared" si="62"/>
        <v/>
      </c>
      <c r="M163" s="1504" t="str">
        <f t="shared" si="63"/>
        <v/>
      </c>
      <c r="N163" s="1504" t="str">
        <f t="shared" si="64"/>
        <v/>
      </c>
      <c r="O163" s="1504" t="str">
        <f t="shared" si="65"/>
        <v/>
      </c>
      <c r="P163" s="1504" t="str">
        <f t="shared" si="66"/>
        <v/>
      </c>
      <c r="Q163" s="1504" t="str">
        <f t="shared" si="67"/>
        <v/>
      </c>
      <c r="R163" s="1504" t="str">
        <f t="shared" si="68"/>
        <v/>
      </c>
      <c r="S163" s="1504" t="str">
        <f t="shared" si="69"/>
        <v/>
      </c>
      <c r="T163" s="1504" t="str">
        <f t="shared" si="70"/>
        <v/>
      </c>
      <c r="U163" s="1504" t="str">
        <f t="shared" si="71"/>
        <v/>
      </c>
      <c r="V163" s="1503" t="str">
        <f>IF(AND(C163&lt;&gt;"",C163&lt;&gt;"Vacant",C163&lt;&gt;"Manager"),'F-TIV'!O160,"")</f>
        <v/>
      </c>
      <c r="W163" s="1502" t="str">
        <f>IF(AND(C163&lt;&gt;"",C163&lt;&gt;"Vacant",C163&lt;&gt;"Manager"),'F-TIV'!P160,"")</f>
        <v/>
      </c>
      <c r="X163" s="1498" t="str">
        <f t="shared" si="72"/>
        <v/>
      </c>
      <c r="Y163" s="1501" t="str">
        <f>IF('F-TIV'!G160&lt;&gt;"",'F-TIV'!G160,"")</f>
        <v/>
      </c>
      <c r="Z163" s="1500" t="str">
        <f>IF(AND(C163&lt;&gt;"",C163&lt;&gt;"Vacant",C163&lt;&gt;"Manager"),'F-TIV'!L160,"")</f>
        <v/>
      </c>
      <c r="AA163" s="1499" t="str">
        <f t="shared" si="73"/>
        <v/>
      </c>
      <c r="AB163" s="1498" t="str">
        <f t="shared" si="74"/>
        <v/>
      </c>
      <c r="AC163" s="1426"/>
      <c r="AD163" s="1426"/>
      <c r="AE163" s="1426"/>
      <c r="AG163" s="1497"/>
      <c r="AL163" s="1496"/>
      <c r="AN163" s="1496"/>
      <c r="AO163" s="1496"/>
      <c r="AP163" s="1496"/>
      <c r="AQ163" s="1496"/>
      <c r="AR163" s="1496"/>
    </row>
    <row r="164" spans="2:44" s="1442" customFormat="1" ht="11.25" customHeight="1">
      <c r="B164" s="1501" t="str">
        <f t="shared" si="60"/>
        <v>0</v>
      </c>
      <c r="C164" s="1506" t="str">
        <f>IF('F-TIV'!D161&lt;&gt;"",'F-TIV'!D161,"")</f>
        <v/>
      </c>
      <c r="D164" s="1501" t="str">
        <f>IF('F-TIV'!C161&lt;&gt;"",'F-TIV'!C161,"")</f>
        <v/>
      </c>
      <c r="E164" s="1502" t="str">
        <f>IF('F-TIV'!Q161&lt;&gt;"",'F-TIV'!Q161,"")</f>
        <v/>
      </c>
      <c r="F164" s="1502" t="str">
        <f>IF('F-TIV'!R161&lt;&gt;"",'F-TIV'!R161,"")</f>
        <v/>
      </c>
      <c r="G164" s="1505" t="str">
        <f>IF('F-TIV'!S161&lt;&gt;"",'F-TIV'!S161,"")</f>
        <v/>
      </c>
      <c r="H164" s="1501" t="str">
        <f>IF('F-TIV'!F161&lt;&gt;"",'F-TIV'!F161,"")</f>
        <v/>
      </c>
      <c r="I164" s="1500" t="str">
        <f>IF(AND(C164&lt;&gt;"",C164&lt;&gt;"Vacant",C164&lt;&gt;"Manager"),IF('F-TIV'!H161&lt;&gt;"",'F-TIV'!H161,""),"")</f>
        <v/>
      </c>
      <c r="J164" s="1500" t="str">
        <f>IF(AND(C164&lt;&gt;"",C164&lt;&gt;"Vacant",C164&lt;&gt;"Manager"),IF('F-TIV'!J161&lt;&gt;0,'F-TIV'!J161,"$0"),"")</f>
        <v/>
      </c>
      <c r="K164" s="1500" t="str">
        <f t="shared" si="61"/>
        <v/>
      </c>
      <c r="L164" s="1504" t="str">
        <f t="shared" si="62"/>
        <v/>
      </c>
      <c r="M164" s="1504" t="str">
        <f t="shared" si="63"/>
        <v/>
      </c>
      <c r="N164" s="1504" t="str">
        <f t="shared" si="64"/>
        <v/>
      </c>
      <c r="O164" s="1504" t="str">
        <f t="shared" si="65"/>
        <v/>
      </c>
      <c r="P164" s="1504" t="str">
        <f t="shared" si="66"/>
        <v/>
      </c>
      <c r="Q164" s="1504" t="str">
        <f t="shared" si="67"/>
        <v/>
      </c>
      <c r="R164" s="1504" t="str">
        <f t="shared" si="68"/>
        <v/>
      </c>
      <c r="S164" s="1504" t="str">
        <f t="shared" si="69"/>
        <v/>
      </c>
      <c r="T164" s="1504" t="str">
        <f t="shared" si="70"/>
        <v/>
      </c>
      <c r="U164" s="1504" t="str">
        <f t="shared" si="71"/>
        <v/>
      </c>
      <c r="V164" s="1503" t="str">
        <f>IF(AND(C164&lt;&gt;"",C164&lt;&gt;"Vacant",C164&lt;&gt;"Manager"),'F-TIV'!O161,"")</f>
        <v/>
      </c>
      <c r="W164" s="1502" t="str">
        <f>IF(AND(C164&lt;&gt;"",C164&lt;&gt;"Vacant",C164&lt;&gt;"Manager"),'F-TIV'!P161,"")</f>
        <v/>
      </c>
      <c r="X164" s="1498" t="str">
        <f t="shared" si="72"/>
        <v/>
      </c>
      <c r="Y164" s="1501" t="str">
        <f>IF('F-TIV'!G161&lt;&gt;"",'F-TIV'!G161,"")</f>
        <v/>
      </c>
      <c r="Z164" s="1500" t="str">
        <f>IF(AND(C164&lt;&gt;"",C164&lt;&gt;"Vacant",C164&lt;&gt;"Manager"),'F-TIV'!L161,"")</f>
        <v/>
      </c>
      <c r="AA164" s="1499" t="str">
        <f t="shared" si="73"/>
        <v/>
      </c>
      <c r="AB164" s="1498" t="str">
        <f t="shared" si="74"/>
        <v/>
      </c>
      <c r="AC164" s="1426"/>
      <c r="AD164" s="1426"/>
      <c r="AE164" s="1426"/>
      <c r="AG164" s="1497"/>
      <c r="AL164" s="1496"/>
      <c r="AN164" s="1496"/>
      <c r="AO164" s="1496"/>
      <c r="AP164" s="1496"/>
      <c r="AQ164" s="1496"/>
      <c r="AR164" s="1496"/>
    </row>
    <row r="165" spans="2:44" s="1442" customFormat="1" ht="11.25" customHeight="1">
      <c r="B165" s="1501" t="str">
        <f t="shared" si="60"/>
        <v>0</v>
      </c>
      <c r="C165" s="1506" t="str">
        <f>IF('F-TIV'!D162&lt;&gt;"",'F-TIV'!D162,"")</f>
        <v/>
      </c>
      <c r="D165" s="1501" t="str">
        <f>IF('F-TIV'!C162&lt;&gt;"",'F-TIV'!C162,"")</f>
        <v/>
      </c>
      <c r="E165" s="1502" t="str">
        <f>IF('F-TIV'!Q162&lt;&gt;"",'F-TIV'!Q162,"")</f>
        <v/>
      </c>
      <c r="F165" s="1502" t="str">
        <f>IF('F-TIV'!R162&lt;&gt;"",'F-TIV'!R162,"")</f>
        <v/>
      </c>
      <c r="G165" s="1505" t="str">
        <f>IF('F-TIV'!S162&lt;&gt;"",'F-TIV'!S162,"")</f>
        <v/>
      </c>
      <c r="H165" s="1501" t="str">
        <f>IF('F-TIV'!F162&lt;&gt;"",'F-TIV'!F162,"")</f>
        <v/>
      </c>
      <c r="I165" s="1500" t="str">
        <f>IF(AND(C165&lt;&gt;"",C165&lt;&gt;"Vacant",C165&lt;&gt;"Manager"),IF('F-TIV'!H162&lt;&gt;"",'F-TIV'!H162,""),"")</f>
        <v/>
      </c>
      <c r="J165" s="1500" t="str">
        <f>IF(AND(C165&lt;&gt;"",C165&lt;&gt;"Vacant",C165&lt;&gt;"Manager"),IF('F-TIV'!J162&lt;&gt;0,'F-TIV'!J162,"$0"),"")</f>
        <v/>
      </c>
      <c r="K165" s="1500" t="str">
        <f t="shared" si="61"/>
        <v/>
      </c>
      <c r="L165" s="1504" t="str">
        <f t="shared" si="62"/>
        <v/>
      </c>
      <c r="M165" s="1504" t="str">
        <f t="shared" si="63"/>
        <v/>
      </c>
      <c r="N165" s="1504" t="str">
        <f t="shared" si="64"/>
        <v/>
      </c>
      <c r="O165" s="1504" t="str">
        <f t="shared" si="65"/>
        <v/>
      </c>
      <c r="P165" s="1504" t="str">
        <f t="shared" si="66"/>
        <v/>
      </c>
      <c r="Q165" s="1504" t="str">
        <f t="shared" si="67"/>
        <v/>
      </c>
      <c r="R165" s="1504" t="str">
        <f t="shared" si="68"/>
        <v/>
      </c>
      <c r="S165" s="1504" t="str">
        <f t="shared" si="69"/>
        <v/>
      </c>
      <c r="T165" s="1504" t="str">
        <f t="shared" si="70"/>
        <v/>
      </c>
      <c r="U165" s="1504" t="str">
        <f t="shared" si="71"/>
        <v/>
      </c>
      <c r="V165" s="1503" t="str">
        <f>IF(AND(C165&lt;&gt;"",C165&lt;&gt;"Vacant",C165&lt;&gt;"Manager"),'F-TIV'!O162,"")</f>
        <v/>
      </c>
      <c r="W165" s="1502" t="str">
        <f>IF(AND(C165&lt;&gt;"",C165&lt;&gt;"Vacant",C165&lt;&gt;"Manager"),'F-TIV'!P162,"")</f>
        <v/>
      </c>
      <c r="X165" s="1498" t="str">
        <f t="shared" si="72"/>
        <v/>
      </c>
      <c r="Y165" s="1501" t="str">
        <f>IF('F-TIV'!G162&lt;&gt;"",'F-TIV'!G162,"")</f>
        <v/>
      </c>
      <c r="Z165" s="1500" t="str">
        <f>IF(AND(C165&lt;&gt;"",C165&lt;&gt;"Vacant",C165&lt;&gt;"Manager"),'F-TIV'!L162,"")</f>
        <v/>
      </c>
      <c r="AA165" s="1499" t="str">
        <f t="shared" si="73"/>
        <v/>
      </c>
      <c r="AB165" s="1498" t="str">
        <f t="shared" si="74"/>
        <v/>
      </c>
      <c r="AC165" s="1426"/>
      <c r="AD165" s="1426"/>
      <c r="AE165" s="1426"/>
      <c r="AG165" s="1497"/>
      <c r="AL165" s="1496"/>
      <c r="AN165" s="1496"/>
      <c r="AO165" s="1496"/>
      <c r="AP165" s="1496"/>
      <c r="AQ165" s="1496"/>
      <c r="AR165" s="1496"/>
    </row>
    <row r="166" spans="2:44" s="1442" customFormat="1" ht="11.25" customHeight="1">
      <c r="B166" s="1501" t="str">
        <f t="shared" si="60"/>
        <v>0</v>
      </c>
      <c r="C166" s="1506" t="str">
        <f>IF('F-TIV'!D163&lt;&gt;"",'F-TIV'!D163,"")</f>
        <v/>
      </c>
      <c r="D166" s="1501" t="str">
        <f>IF('F-TIV'!C163&lt;&gt;"",'F-TIV'!C163,"")</f>
        <v/>
      </c>
      <c r="E166" s="1502" t="str">
        <f>IF('F-TIV'!Q163&lt;&gt;"",'F-TIV'!Q163,"")</f>
        <v/>
      </c>
      <c r="F166" s="1502" t="str">
        <f>IF('F-TIV'!R163&lt;&gt;"",'F-TIV'!R163,"")</f>
        <v/>
      </c>
      <c r="G166" s="1505" t="str">
        <f>IF('F-TIV'!S163&lt;&gt;"",'F-TIV'!S163,"")</f>
        <v/>
      </c>
      <c r="H166" s="1501" t="str">
        <f>IF('F-TIV'!F163&lt;&gt;"",'F-TIV'!F163,"")</f>
        <v/>
      </c>
      <c r="I166" s="1500" t="str">
        <f>IF(AND(C166&lt;&gt;"",C166&lt;&gt;"Vacant",C166&lt;&gt;"Manager"),IF('F-TIV'!H163&lt;&gt;"",'F-TIV'!H163,""),"")</f>
        <v/>
      </c>
      <c r="J166" s="1500" t="str">
        <f>IF(AND(C166&lt;&gt;"",C166&lt;&gt;"Vacant",C166&lt;&gt;"Manager"),IF('F-TIV'!J163&lt;&gt;0,'F-TIV'!J163,"$0"),"")</f>
        <v/>
      </c>
      <c r="K166" s="1500" t="str">
        <f t="shared" si="61"/>
        <v/>
      </c>
      <c r="L166" s="1504" t="str">
        <f t="shared" si="62"/>
        <v/>
      </c>
      <c r="M166" s="1504" t="str">
        <f t="shared" si="63"/>
        <v/>
      </c>
      <c r="N166" s="1504" t="str">
        <f t="shared" si="64"/>
        <v/>
      </c>
      <c r="O166" s="1504" t="str">
        <f t="shared" si="65"/>
        <v/>
      </c>
      <c r="P166" s="1504" t="str">
        <f t="shared" si="66"/>
        <v/>
      </c>
      <c r="Q166" s="1504" t="str">
        <f t="shared" si="67"/>
        <v/>
      </c>
      <c r="R166" s="1504" t="str">
        <f t="shared" si="68"/>
        <v/>
      </c>
      <c r="S166" s="1504" t="str">
        <f t="shared" si="69"/>
        <v/>
      </c>
      <c r="T166" s="1504" t="str">
        <f t="shared" si="70"/>
        <v/>
      </c>
      <c r="U166" s="1504" t="str">
        <f t="shared" si="71"/>
        <v/>
      </c>
      <c r="V166" s="1503" t="str">
        <f>IF(AND(C166&lt;&gt;"",C166&lt;&gt;"Vacant",C166&lt;&gt;"Manager"),'F-TIV'!O163,"")</f>
        <v/>
      </c>
      <c r="W166" s="1502" t="str">
        <f>IF(AND(C166&lt;&gt;"",C166&lt;&gt;"Vacant",C166&lt;&gt;"Manager"),'F-TIV'!P163,"")</f>
        <v/>
      </c>
      <c r="X166" s="1498" t="str">
        <f t="shared" si="72"/>
        <v/>
      </c>
      <c r="Y166" s="1501" t="str">
        <f>IF('F-TIV'!G163&lt;&gt;"",'F-TIV'!G163,"")</f>
        <v/>
      </c>
      <c r="Z166" s="1500" t="str">
        <f>IF(AND(C166&lt;&gt;"",C166&lt;&gt;"Vacant",C166&lt;&gt;"Manager"),'F-TIV'!L163,"")</f>
        <v/>
      </c>
      <c r="AA166" s="1499" t="str">
        <f t="shared" si="73"/>
        <v/>
      </c>
      <c r="AB166" s="1498" t="str">
        <f t="shared" si="74"/>
        <v/>
      </c>
      <c r="AC166" s="1426"/>
      <c r="AD166" s="1426"/>
      <c r="AE166" s="1426"/>
      <c r="AG166" s="1497"/>
      <c r="AL166" s="1496"/>
      <c r="AN166" s="1496"/>
      <c r="AO166" s="1496"/>
      <c r="AP166" s="1496"/>
      <c r="AQ166" s="1496"/>
      <c r="AR166" s="1496"/>
    </row>
    <row r="167" spans="2:44" s="1442" customFormat="1" ht="11.25" customHeight="1">
      <c r="B167" s="1501" t="str">
        <f t="shared" si="60"/>
        <v>0</v>
      </c>
      <c r="C167" s="1506" t="str">
        <f>IF('F-TIV'!D164&lt;&gt;"",'F-TIV'!D164,"")</f>
        <v/>
      </c>
      <c r="D167" s="1501" t="str">
        <f>IF('F-TIV'!C164&lt;&gt;"",'F-TIV'!C164,"")</f>
        <v/>
      </c>
      <c r="E167" s="1502" t="str">
        <f>IF('F-TIV'!Q164&lt;&gt;"",'F-TIV'!Q164,"")</f>
        <v/>
      </c>
      <c r="F167" s="1502" t="str">
        <f>IF('F-TIV'!R164&lt;&gt;"",'F-TIV'!R164,"")</f>
        <v/>
      </c>
      <c r="G167" s="1505" t="str">
        <f>IF('F-TIV'!S164&lt;&gt;"",'F-TIV'!S164,"")</f>
        <v/>
      </c>
      <c r="H167" s="1501" t="str">
        <f>IF('F-TIV'!F164&lt;&gt;"",'F-TIV'!F164,"")</f>
        <v/>
      </c>
      <c r="I167" s="1500" t="str">
        <f>IF(AND(C167&lt;&gt;"",C167&lt;&gt;"Vacant",C167&lt;&gt;"Manager"),IF('F-TIV'!H164&lt;&gt;"",'F-TIV'!H164,""),"")</f>
        <v/>
      </c>
      <c r="J167" s="1500" t="str">
        <f>IF(AND(C167&lt;&gt;"",C167&lt;&gt;"Vacant",C167&lt;&gt;"Manager"),IF('F-TIV'!J164&lt;&gt;0,'F-TIV'!J164,"$0"),"")</f>
        <v/>
      </c>
      <c r="K167" s="1500" t="str">
        <f t="shared" si="61"/>
        <v/>
      </c>
      <c r="L167" s="1504" t="str">
        <f t="shared" si="62"/>
        <v/>
      </c>
      <c r="M167" s="1504" t="str">
        <f t="shared" si="63"/>
        <v/>
      </c>
      <c r="N167" s="1504" t="str">
        <f t="shared" si="64"/>
        <v/>
      </c>
      <c r="O167" s="1504" t="str">
        <f t="shared" si="65"/>
        <v/>
      </c>
      <c r="P167" s="1504" t="str">
        <f t="shared" si="66"/>
        <v/>
      </c>
      <c r="Q167" s="1504" t="str">
        <f t="shared" si="67"/>
        <v/>
      </c>
      <c r="R167" s="1504" t="str">
        <f t="shared" si="68"/>
        <v/>
      </c>
      <c r="S167" s="1504" t="str">
        <f t="shared" si="69"/>
        <v/>
      </c>
      <c r="T167" s="1504" t="str">
        <f t="shared" si="70"/>
        <v/>
      </c>
      <c r="U167" s="1504" t="str">
        <f t="shared" si="71"/>
        <v/>
      </c>
      <c r="V167" s="1503" t="str">
        <f>IF(AND(C167&lt;&gt;"",C167&lt;&gt;"Vacant",C167&lt;&gt;"Manager"),'F-TIV'!O164,"")</f>
        <v/>
      </c>
      <c r="W167" s="1502" t="str">
        <f>IF(AND(C167&lt;&gt;"",C167&lt;&gt;"Vacant",C167&lt;&gt;"Manager"),'F-TIV'!P164,"")</f>
        <v/>
      </c>
      <c r="X167" s="1498" t="str">
        <f t="shared" si="72"/>
        <v/>
      </c>
      <c r="Y167" s="1501" t="str">
        <f>IF('F-TIV'!G164&lt;&gt;"",'F-TIV'!G164,"")</f>
        <v/>
      </c>
      <c r="Z167" s="1500" t="str">
        <f>IF(AND(C167&lt;&gt;"",C167&lt;&gt;"Vacant",C167&lt;&gt;"Manager"),'F-TIV'!L164,"")</f>
        <v/>
      </c>
      <c r="AA167" s="1499" t="str">
        <f t="shared" si="73"/>
        <v/>
      </c>
      <c r="AB167" s="1498" t="str">
        <f t="shared" si="74"/>
        <v/>
      </c>
      <c r="AC167" s="1426"/>
      <c r="AD167" s="1426"/>
      <c r="AE167" s="1426"/>
      <c r="AG167" s="1497"/>
      <c r="AL167" s="1496"/>
      <c r="AN167" s="1496"/>
      <c r="AO167" s="1496"/>
      <c r="AP167" s="1496"/>
      <c r="AQ167" s="1496"/>
      <c r="AR167" s="1496"/>
    </row>
    <row r="168" spans="2:44" s="1442" customFormat="1" ht="11.25" customHeight="1">
      <c r="B168" s="1501" t="str">
        <f t="shared" si="60"/>
        <v>0</v>
      </c>
      <c r="C168" s="1506" t="str">
        <f>IF('F-TIV'!D165&lt;&gt;"",'F-TIV'!D165,"")</f>
        <v/>
      </c>
      <c r="D168" s="1501" t="str">
        <f>IF('F-TIV'!C165&lt;&gt;"",'F-TIV'!C165,"")</f>
        <v/>
      </c>
      <c r="E168" s="1502" t="str">
        <f>IF('F-TIV'!Q165&lt;&gt;"",'F-TIV'!Q165,"")</f>
        <v/>
      </c>
      <c r="F168" s="1502" t="str">
        <f>IF('F-TIV'!R165&lt;&gt;"",'F-TIV'!R165,"")</f>
        <v/>
      </c>
      <c r="G168" s="1505" t="str">
        <f>IF('F-TIV'!S165&lt;&gt;"",'F-TIV'!S165,"")</f>
        <v/>
      </c>
      <c r="H168" s="1501" t="str">
        <f>IF('F-TIV'!F165&lt;&gt;"",'F-TIV'!F165,"")</f>
        <v/>
      </c>
      <c r="I168" s="1500" t="str">
        <f>IF(AND(C168&lt;&gt;"",C168&lt;&gt;"Vacant",C168&lt;&gt;"Manager"),IF('F-TIV'!H165&lt;&gt;"",'F-TIV'!H165,""),"")</f>
        <v/>
      </c>
      <c r="J168" s="1500" t="str">
        <f>IF(AND(C168&lt;&gt;"",C168&lt;&gt;"Vacant",C168&lt;&gt;"Manager"),IF('F-TIV'!J165&lt;&gt;0,'F-TIV'!J165,"$0"),"")</f>
        <v/>
      </c>
      <c r="K168" s="1500" t="str">
        <f t="shared" si="61"/>
        <v/>
      </c>
      <c r="L168" s="1504" t="str">
        <f t="shared" si="62"/>
        <v/>
      </c>
      <c r="M168" s="1504" t="str">
        <f t="shared" si="63"/>
        <v/>
      </c>
      <c r="N168" s="1504" t="str">
        <f t="shared" si="64"/>
        <v/>
      </c>
      <c r="O168" s="1504" t="str">
        <f t="shared" si="65"/>
        <v/>
      </c>
      <c r="P168" s="1504" t="str">
        <f t="shared" si="66"/>
        <v/>
      </c>
      <c r="Q168" s="1504" t="str">
        <f t="shared" si="67"/>
        <v/>
      </c>
      <c r="R168" s="1504" t="str">
        <f t="shared" si="68"/>
        <v/>
      </c>
      <c r="S168" s="1504" t="str">
        <f t="shared" si="69"/>
        <v/>
      </c>
      <c r="T168" s="1504" t="str">
        <f t="shared" si="70"/>
        <v/>
      </c>
      <c r="U168" s="1504" t="str">
        <f t="shared" si="71"/>
        <v/>
      </c>
      <c r="V168" s="1503" t="str">
        <f>IF(AND(C168&lt;&gt;"",C168&lt;&gt;"Vacant",C168&lt;&gt;"Manager"),'F-TIV'!O165,"")</f>
        <v/>
      </c>
      <c r="W168" s="1502" t="str">
        <f>IF(AND(C168&lt;&gt;"",C168&lt;&gt;"Vacant",C168&lt;&gt;"Manager"),'F-TIV'!P165,"")</f>
        <v/>
      </c>
      <c r="X168" s="1498" t="str">
        <f t="shared" si="72"/>
        <v/>
      </c>
      <c r="Y168" s="1501" t="str">
        <f>IF('F-TIV'!G165&lt;&gt;"",'F-TIV'!G165,"")</f>
        <v/>
      </c>
      <c r="Z168" s="1500" t="str">
        <f>IF(AND(C168&lt;&gt;"",C168&lt;&gt;"Vacant",C168&lt;&gt;"Manager"),'F-TIV'!L165,"")</f>
        <v/>
      </c>
      <c r="AA168" s="1499" t="str">
        <f t="shared" si="73"/>
        <v/>
      </c>
      <c r="AB168" s="1498" t="str">
        <f t="shared" si="74"/>
        <v/>
      </c>
      <c r="AC168" s="1426"/>
      <c r="AD168" s="1426"/>
      <c r="AE168" s="1426"/>
      <c r="AG168" s="1497"/>
      <c r="AL168" s="1496"/>
      <c r="AN168" s="1496"/>
      <c r="AO168" s="1496"/>
      <c r="AP168" s="1496"/>
      <c r="AQ168" s="1496"/>
      <c r="AR168" s="1496"/>
    </row>
    <row r="169" spans="2:44" s="1442" customFormat="1" ht="11.25" customHeight="1">
      <c r="B169" s="1501" t="str">
        <f t="shared" si="60"/>
        <v>0</v>
      </c>
      <c r="C169" s="1506" t="str">
        <f>IF('F-TIV'!D166&lt;&gt;"",'F-TIV'!D166,"")</f>
        <v/>
      </c>
      <c r="D169" s="1501" t="str">
        <f>IF('F-TIV'!C166&lt;&gt;"",'F-TIV'!C166,"")</f>
        <v/>
      </c>
      <c r="E169" s="1502" t="str">
        <f>IF('F-TIV'!Q166&lt;&gt;"",'F-TIV'!Q166,"")</f>
        <v/>
      </c>
      <c r="F169" s="1502" t="str">
        <f>IF('F-TIV'!R166&lt;&gt;"",'F-TIV'!R166,"")</f>
        <v/>
      </c>
      <c r="G169" s="1505" t="str">
        <f>IF('F-TIV'!S166&lt;&gt;"",'F-TIV'!S166,"")</f>
        <v/>
      </c>
      <c r="H169" s="1501" t="str">
        <f>IF('F-TIV'!F166&lt;&gt;"",'F-TIV'!F166,"")</f>
        <v/>
      </c>
      <c r="I169" s="1500" t="str">
        <f>IF(AND(C169&lt;&gt;"",C169&lt;&gt;"Vacant",C169&lt;&gt;"Manager"),IF('F-TIV'!H166&lt;&gt;"",'F-TIV'!H166,""),"")</f>
        <v/>
      </c>
      <c r="J169" s="1500" t="str">
        <f>IF(AND(C169&lt;&gt;"",C169&lt;&gt;"Vacant",C169&lt;&gt;"Manager"),IF('F-TIV'!J166&lt;&gt;0,'F-TIV'!J166,"$0"),"")</f>
        <v/>
      </c>
      <c r="K169" s="1500" t="str">
        <f t="shared" si="61"/>
        <v/>
      </c>
      <c r="L169" s="1504" t="str">
        <f t="shared" si="62"/>
        <v/>
      </c>
      <c r="M169" s="1504" t="str">
        <f t="shared" si="63"/>
        <v/>
      </c>
      <c r="N169" s="1504" t="str">
        <f t="shared" si="64"/>
        <v/>
      </c>
      <c r="O169" s="1504" t="str">
        <f t="shared" si="65"/>
        <v/>
      </c>
      <c r="P169" s="1504" t="str">
        <f t="shared" si="66"/>
        <v/>
      </c>
      <c r="Q169" s="1504" t="str">
        <f t="shared" si="67"/>
        <v/>
      </c>
      <c r="R169" s="1504" t="str">
        <f t="shared" si="68"/>
        <v/>
      </c>
      <c r="S169" s="1504" t="str">
        <f t="shared" si="69"/>
        <v/>
      </c>
      <c r="T169" s="1504" t="str">
        <f t="shared" si="70"/>
        <v/>
      </c>
      <c r="U169" s="1504" t="str">
        <f t="shared" si="71"/>
        <v/>
      </c>
      <c r="V169" s="1503" t="str">
        <f>IF(AND(C169&lt;&gt;"",C169&lt;&gt;"Vacant",C169&lt;&gt;"Manager"),'F-TIV'!O166,"")</f>
        <v/>
      </c>
      <c r="W169" s="1502" t="str">
        <f>IF(AND(C169&lt;&gt;"",C169&lt;&gt;"Vacant",C169&lt;&gt;"Manager"),'F-TIV'!P166,"")</f>
        <v/>
      </c>
      <c r="X169" s="1498" t="str">
        <f t="shared" si="72"/>
        <v/>
      </c>
      <c r="Y169" s="1501" t="str">
        <f>IF('F-TIV'!G166&lt;&gt;"",'F-TIV'!G166,"")</f>
        <v/>
      </c>
      <c r="Z169" s="1500" t="str">
        <f>IF(AND(C169&lt;&gt;"",C169&lt;&gt;"Vacant",C169&lt;&gt;"Manager"),'F-TIV'!L166,"")</f>
        <v/>
      </c>
      <c r="AA169" s="1499" t="str">
        <f t="shared" si="73"/>
        <v/>
      </c>
      <c r="AB169" s="1498" t="str">
        <f t="shared" si="74"/>
        <v/>
      </c>
      <c r="AC169" s="1426"/>
      <c r="AD169" s="1426"/>
      <c r="AE169" s="1426"/>
      <c r="AG169" s="1497"/>
      <c r="AL169" s="1496"/>
      <c r="AN169" s="1496"/>
      <c r="AO169" s="1496"/>
      <c r="AP169" s="1496"/>
      <c r="AQ169" s="1496"/>
      <c r="AR169" s="1496"/>
    </row>
    <row r="170" spans="2:44" s="1442" customFormat="1" ht="11.25" customHeight="1">
      <c r="B170" s="1501" t="str">
        <f t="shared" si="60"/>
        <v>0</v>
      </c>
      <c r="C170" s="1506" t="str">
        <f>IF('F-TIV'!D167&lt;&gt;"",'F-TIV'!D167,"")</f>
        <v/>
      </c>
      <c r="D170" s="1501" t="str">
        <f>IF('F-TIV'!C167&lt;&gt;"",'F-TIV'!C167,"")</f>
        <v/>
      </c>
      <c r="E170" s="1502" t="str">
        <f>IF('F-TIV'!Q167&lt;&gt;"",'F-TIV'!Q167,"")</f>
        <v/>
      </c>
      <c r="F170" s="1502" t="str">
        <f>IF('F-TIV'!R167&lt;&gt;"",'F-TIV'!R167,"")</f>
        <v/>
      </c>
      <c r="G170" s="1505" t="str">
        <f>IF('F-TIV'!S167&lt;&gt;"",'F-TIV'!S167,"")</f>
        <v/>
      </c>
      <c r="H170" s="1501" t="str">
        <f>IF('F-TIV'!F167&lt;&gt;"",'F-TIV'!F167,"")</f>
        <v/>
      </c>
      <c r="I170" s="1500" t="str">
        <f>IF(AND(C170&lt;&gt;"",C170&lt;&gt;"Vacant",C170&lt;&gt;"Manager"),IF('F-TIV'!H167&lt;&gt;"",'F-TIV'!H167,""),"")</f>
        <v/>
      </c>
      <c r="J170" s="1500" t="str">
        <f>IF(AND(C170&lt;&gt;"",C170&lt;&gt;"Vacant",C170&lt;&gt;"Manager"),IF('F-TIV'!J167&lt;&gt;0,'F-TIV'!J167,"$0"),"")</f>
        <v/>
      </c>
      <c r="K170" s="1500" t="str">
        <f t="shared" si="61"/>
        <v/>
      </c>
      <c r="L170" s="1504" t="str">
        <f t="shared" si="62"/>
        <v/>
      </c>
      <c r="M170" s="1504" t="str">
        <f t="shared" si="63"/>
        <v/>
      </c>
      <c r="N170" s="1504" t="str">
        <f t="shared" si="64"/>
        <v/>
      </c>
      <c r="O170" s="1504" t="str">
        <f t="shared" si="65"/>
        <v/>
      </c>
      <c r="P170" s="1504" t="str">
        <f t="shared" si="66"/>
        <v/>
      </c>
      <c r="Q170" s="1504" t="str">
        <f t="shared" si="67"/>
        <v/>
      </c>
      <c r="R170" s="1504" t="str">
        <f t="shared" si="68"/>
        <v/>
      </c>
      <c r="S170" s="1504" t="str">
        <f t="shared" si="69"/>
        <v/>
      </c>
      <c r="T170" s="1504" t="str">
        <f t="shared" si="70"/>
        <v/>
      </c>
      <c r="U170" s="1504" t="str">
        <f t="shared" si="71"/>
        <v/>
      </c>
      <c r="V170" s="1503" t="str">
        <f>IF(AND(C170&lt;&gt;"",C170&lt;&gt;"Vacant",C170&lt;&gt;"Manager"),'F-TIV'!O167,"")</f>
        <v/>
      </c>
      <c r="W170" s="1502" t="str">
        <f>IF(AND(C170&lt;&gt;"",C170&lt;&gt;"Vacant",C170&lt;&gt;"Manager"),'F-TIV'!P167,"")</f>
        <v/>
      </c>
      <c r="X170" s="1498" t="str">
        <f t="shared" si="72"/>
        <v/>
      </c>
      <c r="Y170" s="1501" t="str">
        <f>IF('F-TIV'!G167&lt;&gt;"",'F-TIV'!G167,"")</f>
        <v/>
      </c>
      <c r="Z170" s="1500" t="str">
        <f>IF(AND(C170&lt;&gt;"",C170&lt;&gt;"Vacant",C170&lt;&gt;"Manager"),'F-TIV'!L167,"")</f>
        <v/>
      </c>
      <c r="AA170" s="1499" t="str">
        <f t="shared" si="73"/>
        <v/>
      </c>
      <c r="AB170" s="1498" t="str">
        <f t="shared" si="74"/>
        <v/>
      </c>
      <c r="AC170" s="1426"/>
      <c r="AD170" s="1426"/>
      <c r="AE170" s="1426"/>
      <c r="AG170" s="1497"/>
      <c r="AL170" s="1496"/>
      <c r="AN170" s="1496"/>
      <c r="AO170" s="1496"/>
      <c r="AP170" s="1496"/>
      <c r="AQ170" s="1496"/>
      <c r="AR170" s="1496"/>
    </row>
    <row r="171" spans="2:44" s="1442" customFormat="1" ht="11.25" customHeight="1">
      <c r="B171" s="1501" t="str">
        <f t="shared" si="60"/>
        <v>0</v>
      </c>
      <c r="C171" s="1506" t="str">
        <f>IF('F-TIV'!D168&lt;&gt;"",'F-TIV'!D168,"")</f>
        <v/>
      </c>
      <c r="D171" s="1501" t="str">
        <f>IF('F-TIV'!C168&lt;&gt;"",'F-TIV'!C168,"")</f>
        <v/>
      </c>
      <c r="E171" s="1502" t="str">
        <f>IF('F-TIV'!Q168&lt;&gt;"",'F-TIV'!Q168,"")</f>
        <v/>
      </c>
      <c r="F171" s="1502" t="str">
        <f>IF('F-TIV'!R168&lt;&gt;"",'F-TIV'!R168,"")</f>
        <v/>
      </c>
      <c r="G171" s="1505" t="str">
        <f>IF('F-TIV'!S168&lt;&gt;"",'F-TIV'!S168,"")</f>
        <v/>
      </c>
      <c r="H171" s="1501" t="str">
        <f>IF('F-TIV'!F168&lt;&gt;"",'F-TIV'!F168,"")</f>
        <v/>
      </c>
      <c r="I171" s="1500" t="str">
        <f>IF(AND(C171&lt;&gt;"",C171&lt;&gt;"Vacant",C171&lt;&gt;"Manager"),IF('F-TIV'!H168&lt;&gt;"",'F-TIV'!H168,""),"")</f>
        <v/>
      </c>
      <c r="J171" s="1500" t="str">
        <f>IF(AND(C171&lt;&gt;"",C171&lt;&gt;"Vacant",C171&lt;&gt;"Manager"),IF('F-TIV'!J168&lt;&gt;0,'F-TIV'!J168,"$0"),"")</f>
        <v/>
      </c>
      <c r="K171" s="1500" t="str">
        <f t="shared" si="61"/>
        <v/>
      </c>
      <c r="L171" s="1504" t="str">
        <f t="shared" si="62"/>
        <v/>
      </c>
      <c r="M171" s="1504" t="str">
        <f t="shared" si="63"/>
        <v/>
      </c>
      <c r="N171" s="1504" t="str">
        <f t="shared" si="64"/>
        <v/>
      </c>
      <c r="O171" s="1504" t="str">
        <f t="shared" si="65"/>
        <v/>
      </c>
      <c r="P171" s="1504" t="str">
        <f t="shared" si="66"/>
        <v/>
      </c>
      <c r="Q171" s="1504" t="str">
        <f t="shared" si="67"/>
        <v/>
      </c>
      <c r="R171" s="1504" t="str">
        <f t="shared" si="68"/>
        <v/>
      </c>
      <c r="S171" s="1504" t="str">
        <f t="shared" si="69"/>
        <v/>
      </c>
      <c r="T171" s="1504" t="str">
        <f t="shared" si="70"/>
        <v/>
      </c>
      <c r="U171" s="1504" t="str">
        <f t="shared" si="71"/>
        <v/>
      </c>
      <c r="V171" s="1503" t="str">
        <f>IF(AND(C171&lt;&gt;"",C171&lt;&gt;"Vacant",C171&lt;&gt;"Manager"),'F-TIV'!O168,"")</f>
        <v/>
      </c>
      <c r="W171" s="1502" t="str">
        <f>IF(AND(C171&lt;&gt;"",C171&lt;&gt;"Vacant",C171&lt;&gt;"Manager"),'F-TIV'!P168,"")</f>
        <v/>
      </c>
      <c r="X171" s="1498" t="str">
        <f t="shared" si="72"/>
        <v/>
      </c>
      <c r="Y171" s="1501" t="str">
        <f>IF('F-TIV'!G168&lt;&gt;"",'F-TIV'!G168,"")</f>
        <v/>
      </c>
      <c r="Z171" s="1500" t="str">
        <f>IF(AND(C171&lt;&gt;"",C171&lt;&gt;"Vacant",C171&lt;&gt;"Manager"),'F-TIV'!L168,"")</f>
        <v/>
      </c>
      <c r="AA171" s="1499" t="str">
        <f t="shared" si="73"/>
        <v/>
      </c>
      <c r="AB171" s="1498" t="str">
        <f t="shared" si="74"/>
        <v/>
      </c>
      <c r="AC171" s="1426"/>
      <c r="AD171" s="1426"/>
      <c r="AE171" s="1426"/>
      <c r="AG171" s="1497"/>
      <c r="AL171" s="1496"/>
      <c r="AN171" s="1496"/>
      <c r="AO171" s="1496"/>
      <c r="AP171" s="1496"/>
      <c r="AQ171" s="1496"/>
      <c r="AR171" s="1496"/>
    </row>
    <row r="172" spans="2:44" s="1442" customFormat="1" ht="11.25" customHeight="1">
      <c r="B172" s="1501" t="str">
        <f t="shared" si="60"/>
        <v>0</v>
      </c>
      <c r="C172" s="1506" t="str">
        <f>IF('F-TIV'!D169&lt;&gt;"",'F-TIV'!D169,"")</f>
        <v/>
      </c>
      <c r="D172" s="1501" t="str">
        <f>IF('F-TIV'!C169&lt;&gt;"",'F-TIV'!C169,"")</f>
        <v/>
      </c>
      <c r="E172" s="1502" t="str">
        <f>IF('F-TIV'!Q169&lt;&gt;"",'F-TIV'!Q169,"")</f>
        <v/>
      </c>
      <c r="F172" s="1502" t="str">
        <f>IF('F-TIV'!R169&lt;&gt;"",'F-TIV'!R169,"")</f>
        <v/>
      </c>
      <c r="G172" s="1505" t="str">
        <f>IF('F-TIV'!S169&lt;&gt;"",'F-TIV'!S169,"")</f>
        <v/>
      </c>
      <c r="H172" s="1501" t="str">
        <f>IF('F-TIV'!F169&lt;&gt;"",'F-TIV'!F169,"")</f>
        <v/>
      </c>
      <c r="I172" s="1500" t="str">
        <f>IF(AND(C172&lt;&gt;"",C172&lt;&gt;"Vacant",C172&lt;&gt;"Manager"),IF('F-TIV'!H169&lt;&gt;"",'F-TIV'!H169,""),"")</f>
        <v/>
      </c>
      <c r="J172" s="1500" t="str">
        <f>IF(AND(C172&lt;&gt;"",C172&lt;&gt;"Vacant",C172&lt;&gt;"Manager"),IF('F-TIV'!J169&lt;&gt;0,'F-TIV'!J169,"$0"),"")</f>
        <v/>
      </c>
      <c r="K172" s="1500" t="str">
        <f t="shared" si="61"/>
        <v/>
      </c>
      <c r="L172" s="1504" t="str">
        <f t="shared" si="62"/>
        <v/>
      </c>
      <c r="M172" s="1504" t="str">
        <f t="shared" si="63"/>
        <v/>
      </c>
      <c r="N172" s="1504" t="str">
        <f t="shared" si="64"/>
        <v/>
      </c>
      <c r="O172" s="1504" t="str">
        <f t="shared" si="65"/>
        <v/>
      </c>
      <c r="P172" s="1504" t="str">
        <f t="shared" si="66"/>
        <v/>
      </c>
      <c r="Q172" s="1504" t="str">
        <f t="shared" si="67"/>
        <v/>
      </c>
      <c r="R172" s="1504" t="str">
        <f t="shared" si="68"/>
        <v/>
      </c>
      <c r="S172" s="1504" t="str">
        <f t="shared" si="69"/>
        <v/>
      </c>
      <c r="T172" s="1504" t="str">
        <f t="shared" si="70"/>
        <v/>
      </c>
      <c r="U172" s="1504" t="str">
        <f t="shared" si="71"/>
        <v/>
      </c>
      <c r="V172" s="1503" t="str">
        <f>IF(AND(C172&lt;&gt;"",C172&lt;&gt;"Vacant",C172&lt;&gt;"Manager"),'F-TIV'!O169,"")</f>
        <v/>
      </c>
      <c r="W172" s="1502" t="str">
        <f>IF(AND(C172&lt;&gt;"",C172&lt;&gt;"Vacant",C172&lt;&gt;"Manager"),'F-TIV'!P169,"")</f>
        <v/>
      </c>
      <c r="X172" s="1498" t="str">
        <f t="shared" si="72"/>
        <v/>
      </c>
      <c r="Y172" s="1501" t="str">
        <f>IF('F-TIV'!G169&lt;&gt;"",'F-TIV'!G169,"")</f>
        <v/>
      </c>
      <c r="Z172" s="1500" t="str">
        <f>IF(AND(C172&lt;&gt;"",C172&lt;&gt;"Vacant",C172&lt;&gt;"Manager"),'F-TIV'!L169,"")</f>
        <v/>
      </c>
      <c r="AA172" s="1499" t="str">
        <f t="shared" si="73"/>
        <v/>
      </c>
      <c r="AB172" s="1498" t="str">
        <f t="shared" si="74"/>
        <v/>
      </c>
      <c r="AC172" s="1426"/>
      <c r="AD172" s="1426"/>
      <c r="AE172" s="1426"/>
      <c r="AG172" s="1497"/>
      <c r="AL172" s="1496"/>
      <c r="AN172" s="1496"/>
      <c r="AO172" s="1496"/>
      <c r="AP172" s="1496"/>
      <c r="AQ172" s="1496"/>
      <c r="AR172" s="1496"/>
    </row>
    <row r="173" spans="2:44" s="1442" customFormat="1" ht="11.25" customHeight="1">
      <c r="B173" s="1501" t="str">
        <f t="shared" si="60"/>
        <v>0</v>
      </c>
      <c r="C173" s="1506" t="str">
        <f>IF('F-TIV'!D170&lt;&gt;"",'F-TIV'!D170,"")</f>
        <v/>
      </c>
      <c r="D173" s="1501" t="str">
        <f>IF('F-TIV'!C170&lt;&gt;"",'F-TIV'!C170,"")</f>
        <v/>
      </c>
      <c r="E173" s="1502" t="str">
        <f>IF('F-TIV'!Q170&lt;&gt;"",'F-TIV'!Q170,"")</f>
        <v/>
      </c>
      <c r="F173" s="1502" t="str">
        <f>IF('F-TIV'!R170&lt;&gt;"",'F-TIV'!R170,"")</f>
        <v/>
      </c>
      <c r="G173" s="1505" t="str">
        <f>IF('F-TIV'!S170&lt;&gt;"",'F-TIV'!S170,"")</f>
        <v/>
      </c>
      <c r="H173" s="1501" t="str">
        <f>IF('F-TIV'!F170&lt;&gt;"",'F-TIV'!F170,"")</f>
        <v/>
      </c>
      <c r="I173" s="1500" t="str">
        <f>IF(AND(C173&lt;&gt;"",C173&lt;&gt;"Vacant",C173&lt;&gt;"Manager"),IF('F-TIV'!H170&lt;&gt;"",'F-TIV'!H170,""),"")</f>
        <v/>
      </c>
      <c r="J173" s="1500" t="str">
        <f>IF(AND(C173&lt;&gt;"",C173&lt;&gt;"Vacant",C173&lt;&gt;"Manager"),IF('F-TIV'!J170&lt;&gt;0,'F-TIV'!J170,"$0"),"")</f>
        <v/>
      </c>
      <c r="K173" s="1500" t="str">
        <f t="shared" si="61"/>
        <v/>
      </c>
      <c r="L173" s="1504" t="str">
        <f t="shared" si="62"/>
        <v/>
      </c>
      <c r="M173" s="1504" t="str">
        <f t="shared" si="63"/>
        <v/>
      </c>
      <c r="N173" s="1504" t="str">
        <f t="shared" si="64"/>
        <v/>
      </c>
      <c r="O173" s="1504" t="str">
        <f t="shared" si="65"/>
        <v/>
      </c>
      <c r="P173" s="1504" t="str">
        <f t="shared" si="66"/>
        <v/>
      </c>
      <c r="Q173" s="1504" t="str">
        <f t="shared" si="67"/>
        <v/>
      </c>
      <c r="R173" s="1504" t="str">
        <f t="shared" si="68"/>
        <v/>
      </c>
      <c r="S173" s="1504" t="str">
        <f t="shared" si="69"/>
        <v/>
      </c>
      <c r="T173" s="1504" t="str">
        <f t="shared" si="70"/>
        <v/>
      </c>
      <c r="U173" s="1504" t="str">
        <f t="shared" si="71"/>
        <v/>
      </c>
      <c r="V173" s="1503" t="str">
        <f>IF(AND(C173&lt;&gt;"",C173&lt;&gt;"Vacant",C173&lt;&gt;"Manager"),'F-TIV'!O170,"")</f>
        <v/>
      </c>
      <c r="W173" s="1502" t="str">
        <f>IF(AND(C173&lt;&gt;"",C173&lt;&gt;"Vacant",C173&lt;&gt;"Manager"),'F-TIV'!P170,"")</f>
        <v/>
      </c>
      <c r="X173" s="1498" t="str">
        <f t="shared" si="72"/>
        <v/>
      </c>
      <c r="Y173" s="1501" t="str">
        <f>IF('F-TIV'!G170&lt;&gt;"",'F-TIV'!G170,"")</f>
        <v/>
      </c>
      <c r="Z173" s="1500" t="str">
        <f>IF(AND(C173&lt;&gt;"",C173&lt;&gt;"Vacant",C173&lt;&gt;"Manager"),'F-TIV'!L170,"")</f>
        <v/>
      </c>
      <c r="AA173" s="1499" t="str">
        <f t="shared" si="73"/>
        <v/>
      </c>
      <c r="AB173" s="1498" t="str">
        <f t="shared" si="74"/>
        <v/>
      </c>
      <c r="AC173" s="1426"/>
      <c r="AD173" s="1426"/>
      <c r="AE173" s="1426"/>
      <c r="AG173" s="1497"/>
      <c r="AL173" s="1496"/>
      <c r="AN173" s="1496"/>
      <c r="AO173" s="1496"/>
      <c r="AP173" s="1496"/>
      <c r="AQ173" s="1496"/>
      <c r="AR173" s="1496"/>
    </row>
    <row r="174" spans="2:44" s="1442" customFormat="1" ht="11.25" customHeight="1">
      <c r="B174" s="1501" t="str">
        <f t="shared" si="60"/>
        <v>0</v>
      </c>
      <c r="C174" s="1506" t="str">
        <f>IF('F-TIV'!D171&lt;&gt;"",'F-TIV'!D171,"")</f>
        <v/>
      </c>
      <c r="D174" s="1501" t="str">
        <f>IF('F-TIV'!C171&lt;&gt;"",'F-TIV'!C171,"")</f>
        <v/>
      </c>
      <c r="E174" s="1502" t="str">
        <f>IF('F-TIV'!Q171&lt;&gt;"",'F-TIV'!Q171,"")</f>
        <v/>
      </c>
      <c r="F174" s="1502" t="str">
        <f>IF('F-TIV'!R171&lt;&gt;"",'F-TIV'!R171,"")</f>
        <v/>
      </c>
      <c r="G174" s="1505" t="str">
        <f>IF('F-TIV'!S171&lt;&gt;"",'F-TIV'!S171,"")</f>
        <v/>
      </c>
      <c r="H174" s="1501" t="str">
        <f>IF('F-TIV'!F171&lt;&gt;"",'F-TIV'!F171,"")</f>
        <v/>
      </c>
      <c r="I174" s="1500" t="str">
        <f>IF(AND(C174&lt;&gt;"",C174&lt;&gt;"Vacant",C174&lt;&gt;"Manager"),IF('F-TIV'!H171&lt;&gt;"",'F-TIV'!H171,""),"")</f>
        <v/>
      </c>
      <c r="J174" s="1500" t="str">
        <f>IF(AND(C174&lt;&gt;"",C174&lt;&gt;"Vacant",C174&lt;&gt;"Manager"),IF('F-TIV'!J171&lt;&gt;0,'F-TIV'!J171,"$0"),"")</f>
        <v/>
      </c>
      <c r="K174" s="1500" t="str">
        <f t="shared" si="61"/>
        <v/>
      </c>
      <c r="L174" s="1504" t="str">
        <f t="shared" si="62"/>
        <v/>
      </c>
      <c r="M174" s="1504" t="str">
        <f t="shared" si="63"/>
        <v/>
      </c>
      <c r="N174" s="1504" t="str">
        <f t="shared" si="64"/>
        <v/>
      </c>
      <c r="O174" s="1504" t="str">
        <f t="shared" si="65"/>
        <v/>
      </c>
      <c r="P174" s="1504" t="str">
        <f t="shared" si="66"/>
        <v/>
      </c>
      <c r="Q174" s="1504" t="str">
        <f t="shared" si="67"/>
        <v/>
      </c>
      <c r="R174" s="1504" t="str">
        <f t="shared" si="68"/>
        <v/>
      </c>
      <c r="S174" s="1504" t="str">
        <f t="shared" si="69"/>
        <v/>
      </c>
      <c r="T174" s="1504" t="str">
        <f t="shared" si="70"/>
        <v/>
      </c>
      <c r="U174" s="1504" t="str">
        <f t="shared" si="71"/>
        <v/>
      </c>
      <c r="V174" s="1503" t="str">
        <f>IF(AND(C174&lt;&gt;"",C174&lt;&gt;"Vacant",C174&lt;&gt;"Manager"),'F-TIV'!O171,"")</f>
        <v/>
      </c>
      <c r="W174" s="1502" t="str">
        <f>IF(AND(C174&lt;&gt;"",C174&lt;&gt;"Vacant",C174&lt;&gt;"Manager"),'F-TIV'!P171,"")</f>
        <v/>
      </c>
      <c r="X174" s="1498" t="str">
        <f t="shared" si="72"/>
        <v/>
      </c>
      <c r="Y174" s="1501" t="str">
        <f>IF('F-TIV'!G171&lt;&gt;"",'F-TIV'!G171,"")</f>
        <v/>
      </c>
      <c r="Z174" s="1500" t="str">
        <f>IF(AND(C174&lt;&gt;"",C174&lt;&gt;"Vacant",C174&lt;&gt;"Manager"),'F-TIV'!L171,"")</f>
        <v/>
      </c>
      <c r="AA174" s="1499" t="str">
        <f t="shared" si="73"/>
        <v/>
      </c>
      <c r="AB174" s="1498" t="str">
        <f t="shared" si="74"/>
        <v/>
      </c>
      <c r="AC174" s="1426"/>
      <c r="AD174" s="1426"/>
      <c r="AE174" s="1426"/>
      <c r="AG174" s="1497"/>
      <c r="AL174" s="1496"/>
      <c r="AN174" s="1496"/>
      <c r="AO174" s="1496"/>
      <c r="AP174" s="1496"/>
      <c r="AQ174" s="1496"/>
      <c r="AR174" s="1496"/>
    </row>
    <row r="175" spans="2:44" s="1442" customFormat="1" ht="11.25" customHeight="1">
      <c r="B175" s="1501" t="str">
        <f t="shared" si="60"/>
        <v>0</v>
      </c>
      <c r="C175" s="1506" t="str">
        <f>IF('F-TIV'!D172&lt;&gt;"",'F-TIV'!D172,"")</f>
        <v/>
      </c>
      <c r="D175" s="1501" t="str">
        <f>IF('F-TIV'!C172&lt;&gt;"",'F-TIV'!C172,"")</f>
        <v/>
      </c>
      <c r="E175" s="1502" t="str">
        <f>IF('F-TIV'!Q172&lt;&gt;"",'F-TIV'!Q172,"")</f>
        <v/>
      </c>
      <c r="F175" s="1502" t="str">
        <f>IF('F-TIV'!R172&lt;&gt;"",'F-TIV'!R172,"")</f>
        <v/>
      </c>
      <c r="G175" s="1505" t="str">
        <f>IF('F-TIV'!S172&lt;&gt;"",'F-TIV'!S172,"")</f>
        <v/>
      </c>
      <c r="H175" s="1501" t="str">
        <f>IF('F-TIV'!F172&lt;&gt;"",'F-TIV'!F172,"")</f>
        <v/>
      </c>
      <c r="I175" s="1500" t="str">
        <f>IF(AND(C175&lt;&gt;"",C175&lt;&gt;"Vacant",C175&lt;&gt;"Manager"),IF('F-TIV'!H172&lt;&gt;"",'F-TIV'!H172,""),"")</f>
        <v/>
      </c>
      <c r="J175" s="1500" t="str">
        <f>IF(AND(C175&lt;&gt;"",C175&lt;&gt;"Vacant",C175&lt;&gt;"Manager"),IF('F-TIV'!J172&lt;&gt;0,'F-TIV'!J172,"$0"),"")</f>
        <v/>
      </c>
      <c r="K175" s="1500" t="str">
        <f t="shared" si="61"/>
        <v/>
      </c>
      <c r="L175" s="1504" t="str">
        <f t="shared" si="62"/>
        <v/>
      </c>
      <c r="M175" s="1504" t="str">
        <f t="shared" si="63"/>
        <v/>
      </c>
      <c r="N175" s="1504" t="str">
        <f t="shared" si="64"/>
        <v/>
      </c>
      <c r="O175" s="1504" t="str">
        <f t="shared" si="65"/>
        <v/>
      </c>
      <c r="P175" s="1504" t="str">
        <f t="shared" si="66"/>
        <v/>
      </c>
      <c r="Q175" s="1504" t="str">
        <f t="shared" si="67"/>
        <v/>
      </c>
      <c r="R175" s="1504" t="str">
        <f t="shared" si="68"/>
        <v/>
      </c>
      <c r="S175" s="1504" t="str">
        <f t="shared" si="69"/>
        <v/>
      </c>
      <c r="T175" s="1504" t="str">
        <f t="shared" si="70"/>
        <v/>
      </c>
      <c r="U175" s="1504" t="str">
        <f t="shared" si="71"/>
        <v/>
      </c>
      <c r="V175" s="1503" t="str">
        <f>IF(AND(C175&lt;&gt;"",C175&lt;&gt;"Vacant",C175&lt;&gt;"Manager"),'F-TIV'!O172,"")</f>
        <v/>
      </c>
      <c r="W175" s="1502" t="str">
        <f>IF(AND(C175&lt;&gt;"",C175&lt;&gt;"Vacant",C175&lt;&gt;"Manager"),'F-TIV'!P172,"")</f>
        <v/>
      </c>
      <c r="X175" s="1498" t="str">
        <f t="shared" si="72"/>
        <v/>
      </c>
      <c r="Y175" s="1501" t="str">
        <f>IF('F-TIV'!G172&lt;&gt;"",'F-TIV'!G172,"")</f>
        <v/>
      </c>
      <c r="Z175" s="1500" t="str">
        <f>IF(AND(C175&lt;&gt;"",C175&lt;&gt;"Vacant",C175&lt;&gt;"Manager"),'F-TIV'!L172,"")</f>
        <v/>
      </c>
      <c r="AA175" s="1499" t="str">
        <f t="shared" si="73"/>
        <v/>
      </c>
      <c r="AB175" s="1498" t="str">
        <f t="shared" si="74"/>
        <v/>
      </c>
      <c r="AC175" s="1426"/>
      <c r="AD175" s="1426"/>
      <c r="AE175" s="1426"/>
      <c r="AG175" s="1497"/>
      <c r="AL175" s="1496"/>
      <c r="AN175" s="1496"/>
      <c r="AO175" s="1496"/>
      <c r="AP175" s="1496"/>
      <c r="AQ175" s="1496"/>
      <c r="AR175" s="1496"/>
    </row>
    <row r="176" spans="2:44" s="1442" customFormat="1" ht="11.25" customHeight="1">
      <c r="B176" s="1501" t="str">
        <f t="shared" si="60"/>
        <v>0</v>
      </c>
      <c r="C176" s="1506" t="str">
        <f>IF('F-TIV'!D173&lt;&gt;"",'F-TIV'!D173,"")</f>
        <v/>
      </c>
      <c r="D176" s="1501" t="str">
        <f>IF('F-TIV'!C173&lt;&gt;"",'F-TIV'!C173,"")</f>
        <v/>
      </c>
      <c r="E176" s="1502" t="str">
        <f>IF('F-TIV'!Q173&lt;&gt;"",'F-TIV'!Q173,"")</f>
        <v/>
      </c>
      <c r="F176" s="1502" t="str">
        <f>IF('F-TIV'!R173&lt;&gt;"",'F-TIV'!R173,"")</f>
        <v/>
      </c>
      <c r="G176" s="1505" t="str">
        <f>IF('F-TIV'!S173&lt;&gt;"",'F-TIV'!S173,"")</f>
        <v/>
      </c>
      <c r="H176" s="1501" t="str">
        <f>IF('F-TIV'!F173&lt;&gt;"",'F-TIV'!F173,"")</f>
        <v/>
      </c>
      <c r="I176" s="1500" t="str">
        <f>IF(AND(C176&lt;&gt;"",C176&lt;&gt;"Vacant",C176&lt;&gt;"Manager"),IF('F-TIV'!H173&lt;&gt;"",'F-TIV'!H173,""),"")</f>
        <v/>
      </c>
      <c r="J176" s="1500" t="str">
        <f>IF(AND(C176&lt;&gt;"",C176&lt;&gt;"Vacant",C176&lt;&gt;"Manager"),IF('F-TIV'!J173&lt;&gt;0,'F-TIV'!J173,"$0"),"")</f>
        <v/>
      </c>
      <c r="K176" s="1500" t="str">
        <f t="shared" si="61"/>
        <v/>
      </c>
      <c r="L176" s="1504" t="str">
        <f t="shared" si="62"/>
        <v/>
      </c>
      <c r="M176" s="1504" t="str">
        <f t="shared" si="63"/>
        <v/>
      </c>
      <c r="N176" s="1504" t="str">
        <f t="shared" si="64"/>
        <v/>
      </c>
      <c r="O176" s="1504" t="str">
        <f t="shared" si="65"/>
        <v/>
      </c>
      <c r="P176" s="1504" t="str">
        <f t="shared" si="66"/>
        <v/>
      </c>
      <c r="Q176" s="1504" t="str">
        <f t="shared" si="67"/>
        <v/>
      </c>
      <c r="R176" s="1504" t="str">
        <f t="shared" si="68"/>
        <v/>
      </c>
      <c r="S176" s="1504" t="str">
        <f t="shared" si="69"/>
        <v/>
      </c>
      <c r="T176" s="1504" t="str">
        <f t="shared" si="70"/>
        <v/>
      </c>
      <c r="U176" s="1504" t="str">
        <f t="shared" si="71"/>
        <v/>
      </c>
      <c r="V176" s="1503" t="str">
        <f>IF(AND(C176&lt;&gt;"",C176&lt;&gt;"Vacant",C176&lt;&gt;"Manager"),'F-TIV'!O173,"")</f>
        <v/>
      </c>
      <c r="W176" s="1502" t="str">
        <f>IF(AND(C176&lt;&gt;"",C176&lt;&gt;"Vacant",C176&lt;&gt;"Manager"),'F-TIV'!P173,"")</f>
        <v/>
      </c>
      <c r="X176" s="1498" t="str">
        <f t="shared" si="72"/>
        <v/>
      </c>
      <c r="Y176" s="1501" t="str">
        <f>IF('F-TIV'!G173&lt;&gt;"",'F-TIV'!G173,"")</f>
        <v/>
      </c>
      <c r="Z176" s="1500" t="str">
        <f>IF(AND(C176&lt;&gt;"",C176&lt;&gt;"Vacant",C176&lt;&gt;"Manager"),'F-TIV'!L173,"")</f>
        <v/>
      </c>
      <c r="AA176" s="1499" t="str">
        <f t="shared" si="73"/>
        <v/>
      </c>
      <c r="AB176" s="1498" t="str">
        <f t="shared" si="74"/>
        <v/>
      </c>
      <c r="AC176" s="1426"/>
      <c r="AD176" s="1426"/>
      <c r="AE176" s="1426"/>
      <c r="AG176" s="1497"/>
      <c r="AL176" s="1496"/>
      <c r="AN176" s="1496"/>
      <c r="AO176" s="1496"/>
      <c r="AP176" s="1496"/>
      <c r="AQ176" s="1496"/>
      <c r="AR176" s="1496"/>
    </row>
    <row r="177" spans="2:44" s="1442" customFormat="1" ht="11.25" customHeight="1">
      <c r="B177" s="1501" t="str">
        <f t="shared" si="60"/>
        <v>0</v>
      </c>
      <c r="C177" s="1506" t="str">
        <f>IF('F-TIV'!D174&lt;&gt;"",'F-TIV'!D174,"")</f>
        <v/>
      </c>
      <c r="D177" s="1501" t="str">
        <f>IF('F-TIV'!C174&lt;&gt;"",'F-TIV'!C174,"")</f>
        <v/>
      </c>
      <c r="E177" s="1502" t="str">
        <f>IF('F-TIV'!Q174&lt;&gt;"",'F-TIV'!Q174,"")</f>
        <v/>
      </c>
      <c r="F177" s="1502" t="str">
        <f>IF('F-TIV'!R174&lt;&gt;"",'F-TIV'!R174,"")</f>
        <v/>
      </c>
      <c r="G177" s="1505" t="str">
        <f>IF('F-TIV'!S174&lt;&gt;"",'F-TIV'!S174,"")</f>
        <v/>
      </c>
      <c r="H177" s="1501" t="str">
        <f>IF('F-TIV'!F174&lt;&gt;"",'F-TIV'!F174,"")</f>
        <v/>
      </c>
      <c r="I177" s="1500" t="str">
        <f>IF(AND(C177&lt;&gt;"",C177&lt;&gt;"Vacant",C177&lt;&gt;"Manager"),IF('F-TIV'!H174&lt;&gt;"",'F-TIV'!H174,""),"")</f>
        <v/>
      </c>
      <c r="J177" s="1500" t="str">
        <f>IF(AND(C177&lt;&gt;"",C177&lt;&gt;"Vacant",C177&lt;&gt;"Manager"),IF('F-TIV'!J174&lt;&gt;0,'F-TIV'!J174,"$0"),"")</f>
        <v/>
      </c>
      <c r="K177" s="1500" t="str">
        <f t="shared" si="61"/>
        <v/>
      </c>
      <c r="L177" s="1504" t="str">
        <f t="shared" si="62"/>
        <v/>
      </c>
      <c r="M177" s="1504" t="str">
        <f t="shared" si="63"/>
        <v/>
      </c>
      <c r="N177" s="1504" t="str">
        <f t="shared" si="64"/>
        <v/>
      </c>
      <c r="O177" s="1504" t="str">
        <f t="shared" si="65"/>
        <v/>
      </c>
      <c r="P177" s="1504" t="str">
        <f t="shared" si="66"/>
        <v/>
      </c>
      <c r="Q177" s="1504" t="str">
        <f t="shared" si="67"/>
        <v/>
      </c>
      <c r="R177" s="1504" t="str">
        <f t="shared" si="68"/>
        <v/>
      </c>
      <c r="S177" s="1504" t="str">
        <f t="shared" si="69"/>
        <v/>
      </c>
      <c r="T177" s="1504" t="str">
        <f t="shared" si="70"/>
        <v/>
      </c>
      <c r="U177" s="1504" t="str">
        <f t="shared" si="71"/>
        <v/>
      </c>
      <c r="V177" s="1503" t="str">
        <f>IF(AND(C177&lt;&gt;"",C177&lt;&gt;"Vacant",C177&lt;&gt;"Manager"),'F-TIV'!O174,"")</f>
        <v/>
      </c>
      <c r="W177" s="1502" t="str">
        <f>IF(AND(C177&lt;&gt;"",C177&lt;&gt;"Vacant",C177&lt;&gt;"Manager"),'F-TIV'!P174,"")</f>
        <v/>
      </c>
      <c r="X177" s="1498" t="str">
        <f t="shared" si="72"/>
        <v/>
      </c>
      <c r="Y177" s="1501" t="str">
        <f>IF('F-TIV'!G174&lt;&gt;"",'F-TIV'!G174,"")</f>
        <v/>
      </c>
      <c r="Z177" s="1500" t="str">
        <f>IF(AND(C177&lt;&gt;"",C177&lt;&gt;"Vacant",C177&lt;&gt;"Manager"),'F-TIV'!L174,"")</f>
        <v/>
      </c>
      <c r="AA177" s="1499" t="str">
        <f t="shared" si="73"/>
        <v/>
      </c>
      <c r="AB177" s="1498" t="str">
        <f t="shared" si="74"/>
        <v/>
      </c>
      <c r="AC177" s="1426"/>
      <c r="AD177" s="1426"/>
      <c r="AE177" s="1426"/>
      <c r="AG177" s="1497"/>
      <c r="AL177" s="1496"/>
      <c r="AN177" s="1496"/>
      <c r="AO177" s="1496"/>
      <c r="AP177" s="1496"/>
      <c r="AQ177" s="1496"/>
      <c r="AR177" s="1496"/>
    </row>
    <row r="178" spans="2:44" s="1442" customFormat="1" ht="11.25" customHeight="1">
      <c r="B178" s="1501" t="str">
        <f t="shared" si="60"/>
        <v>0</v>
      </c>
      <c r="C178" s="1506" t="str">
        <f>IF('F-TIV'!D175&lt;&gt;"",'F-TIV'!D175,"")</f>
        <v/>
      </c>
      <c r="D178" s="1501" t="str">
        <f>IF('F-TIV'!C175&lt;&gt;"",'F-TIV'!C175,"")</f>
        <v/>
      </c>
      <c r="E178" s="1502" t="str">
        <f>IF('F-TIV'!Q175&lt;&gt;"",'F-TIV'!Q175,"")</f>
        <v/>
      </c>
      <c r="F178" s="1502" t="str">
        <f>IF('F-TIV'!R175&lt;&gt;"",'F-TIV'!R175,"")</f>
        <v/>
      </c>
      <c r="G178" s="1505" t="str">
        <f>IF('F-TIV'!S175&lt;&gt;"",'F-TIV'!S175,"")</f>
        <v/>
      </c>
      <c r="H178" s="1501" t="str">
        <f>IF('F-TIV'!F175&lt;&gt;"",'F-TIV'!F175,"")</f>
        <v/>
      </c>
      <c r="I178" s="1500" t="str">
        <f>IF(AND(C178&lt;&gt;"",C178&lt;&gt;"Vacant",C178&lt;&gt;"Manager"),IF('F-TIV'!H175&lt;&gt;"",'F-TIV'!H175,""),"")</f>
        <v/>
      </c>
      <c r="J178" s="1500" t="str">
        <f>IF(AND(C178&lt;&gt;"",C178&lt;&gt;"Vacant",C178&lt;&gt;"Manager"),IF('F-TIV'!J175&lt;&gt;0,'F-TIV'!J175,"$0"),"")</f>
        <v/>
      </c>
      <c r="K178" s="1500" t="str">
        <f t="shared" si="61"/>
        <v/>
      </c>
      <c r="L178" s="1504" t="str">
        <f t="shared" si="62"/>
        <v/>
      </c>
      <c r="M178" s="1504" t="str">
        <f t="shared" si="63"/>
        <v/>
      </c>
      <c r="N178" s="1504" t="str">
        <f t="shared" si="64"/>
        <v/>
      </c>
      <c r="O178" s="1504" t="str">
        <f t="shared" si="65"/>
        <v/>
      </c>
      <c r="P178" s="1504" t="str">
        <f t="shared" si="66"/>
        <v/>
      </c>
      <c r="Q178" s="1504" t="str">
        <f t="shared" si="67"/>
        <v/>
      </c>
      <c r="R178" s="1504" t="str">
        <f t="shared" si="68"/>
        <v/>
      </c>
      <c r="S178" s="1504" t="str">
        <f t="shared" si="69"/>
        <v/>
      </c>
      <c r="T178" s="1504" t="str">
        <f t="shared" si="70"/>
        <v/>
      </c>
      <c r="U178" s="1504" t="str">
        <f t="shared" si="71"/>
        <v/>
      </c>
      <c r="V178" s="1503" t="str">
        <f>IF(AND(C178&lt;&gt;"",C178&lt;&gt;"Vacant",C178&lt;&gt;"Manager"),'F-TIV'!O175,"")</f>
        <v/>
      </c>
      <c r="W178" s="1502" t="str">
        <f>IF(AND(C178&lt;&gt;"",C178&lt;&gt;"Vacant",C178&lt;&gt;"Manager"),'F-TIV'!P175,"")</f>
        <v/>
      </c>
      <c r="X178" s="1498" t="str">
        <f t="shared" si="72"/>
        <v/>
      </c>
      <c r="Y178" s="1501" t="str">
        <f>IF('F-TIV'!G175&lt;&gt;"",'F-TIV'!G175,"")</f>
        <v/>
      </c>
      <c r="Z178" s="1500" t="str">
        <f>IF(AND(C178&lt;&gt;"",C178&lt;&gt;"Vacant",C178&lt;&gt;"Manager"),'F-TIV'!L175,"")</f>
        <v/>
      </c>
      <c r="AA178" s="1499" t="str">
        <f t="shared" si="73"/>
        <v/>
      </c>
      <c r="AB178" s="1498" t="str">
        <f t="shared" si="74"/>
        <v/>
      </c>
      <c r="AC178" s="1426"/>
      <c r="AD178" s="1426"/>
      <c r="AE178" s="1426"/>
      <c r="AG178" s="1497"/>
      <c r="AL178" s="1496"/>
      <c r="AN178" s="1496"/>
      <c r="AO178" s="1496"/>
      <c r="AP178" s="1496"/>
      <c r="AQ178" s="1496"/>
      <c r="AR178" s="1496"/>
    </row>
    <row r="179" spans="2:44" s="1442" customFormat="1" ht="11.25" customHeight="1">
      <c r="B179" s="1501" t="str">
        <f t="shared" si="60"/>
        <v>0</v>
      </c>
      <c r="C179" s="1506" t="str">
        <f>IF('F-TIV'!D176&lt;&gt;"",'F-TIV'!D176,"")</f>
        <v/>
      </c>
      <c r="D179" s="1501" t="str">
        <f>IF('F-TIV'!C176&lt;&gt;"",'F-TIV'!C176,"")</f>
        <v/>
      </c>
      <c r="E179" s="1502" t="str">
        <f>IF('F-TIV'!Q176&lt;&gt;"",'F-TIV'!Q176,"")</f>
        <v/>
      </c>
      <c r="F179" s="1502" t="str">
        <f>IF('F-TIV'!R176&lt;&gt;"",'F-TIV'!R176,"")</f>
        <v/>
      </c>
      <c r="G179" s="1505" t="str">
        <f>IF('F-TIV'!S176&lt;&gt;"",'F-TIV'!S176,"")</f>
        <v/>
      </c>
      <c r="H179" s="1501" t="str">
        <f>IF('F-TIV'!F176&lt;&gt;"",'F-TIV'!F176,"")</f>
        <v/>
      </c>
      <c r="I179" s="1500" t="str">
        <f>IF(AND(C179&lt;&gt;"",C179&lt;&gt;"Vacant",C179&lt;&gt;"Manager"),IF('F-TIV'!H176&lt;&gt;"",'F-TIV'!H176,""),"")</f>
        <v/>
      </c>
      <c r="J179" s="1500" t="str">
        <f>IF(AND(C179&lt;&gt;"",C179&lt;&gt;"Vacant",C179&lt;&gt;"Manager"),IF('F-TIV'!J176&lt;&gt;0,'F-TIV'!J176,"$0"),"")</f>
        <v/>
      </c>
      <c r="K179" s="1500" t="str">
        <f t="shared" si="61"/>
        <v/>
      </c>
      <c r="L179" s="1504" t="str">
        <f t="shared" si="62"/>
        <v/>
      </c>
      <c r="M179" s="1504" t="str">
        <f t="shared" si="63"/>
        <v/>
      </c>
      <c r="N179" s="1504" t="str">
        <f t="shared" si="64"/>
        <v/>
      </c>
      <c r="O179" s="1504" t="str">
        <f t="shared" si="65"/>
        <v/>
      </c>
      <c r="P179" s="1504" t="str">
        <f t="shared" si="66"/>
        <v/>
      </c>
      <c r="Q179" s="1504" t="str">
        <f t="shared" si="67"/>
        <v/>
      </c>
      <c r="R179" s="1504" t="str">
        <f t="shared" si="68"/>
        <v/>
      </c>
      <c r="S179" s="1504" t="str">
        <f t="shared" si="69"/>
        <v/>
      </c>
      <c r="T179" s="1504" t="str">
        <f t="shared" si="70"/>
        <v/>
      </c>
      <c r="U179" s="1504" t="str">
        <f t="shared" si="71"/>
        <v/>
      </c>
      <c r="V179" s="1503" t="str">
        <f>IF(AND(C179&lt;&gt;"",C179&lt;&gt;"Vacant",C179&lt;&gt;"Manager"),'F-TIV'!O176,"")</f>
        <v/>
      </c>
      <c r="W179" s="1502" t="str">
        <f>IF(AND(C179&lt;&gt;"",C179&lt;&gt;"Vacant",C179&lt;&gt;"Manager"),'F-TIV'!P176,"")</f>
        <v/>
      </c>
      <c r="X179" s="1498" t="str">
        <f t="shared" si="72"/>
        <v/>
      </c>
      <c r="Y179" s="1501" t="str">
        <f>IF('F-TIV'!G176&lt;&gt;"",'F-TIV'!G176,"")</f>
        <v/>
      </c>
      <c r="Z179" s="1500" t="str">
        <f>IF(AND(C179&lt;&gt;"",C179&lt;&gt;"Vacant",C179&lt;&gt;"Manager"),'F-TIV'!L176,"")</f>
        <v/>
      </c>
      <c r="AA179" s="1499" t="str">
        <f t="shared" si="73"/>
        <v/>
      </c>
      <c r="AB179" s="1498" t="str">
        <f t="shared" si="74"/>
        <v/>
      </c>
      <c r="AC179" s="1426"/>
      <c r="AD179" s="1426"/>
      <c r="AE179" s="1426"/>
      <c r="AG179" s="1497"/>
      <c r="AL179" s="1496"/>
      <c r="AN179" s="1496"/>
      <c r="AO179" s="1496"/>
      <c r="AP179" s="1496"/>
      <c r="AQ179" s="1496"/>
      <c r="AR179" s="1496"/>
    </row>
    <row r="180" spans="2:44" s="1442" customFormat="1" ht="11.25" customHeight="1">
      <c r="B180" s="1501" t="str">
        <f t="shared" si="60"/>
        <v>0</v>
      </c>
      <c r="C180" s="1506" t="str">
        <f>IF('F-TIV'!D177&lt;&gt;"",'F-TIV'!D177,"")</f>
        <v/>
      </c>
      <c r="D180" s="1501" t="str">
        <f>IF('F-TIV'!C177&lt;&gt;"",'F-TIV'!C177,"")</f>
        <v/>
      </c>
      <c r="E180" s="1502" t="str">
        <f>IF('F-TIV'!Q177&lt;&gt;"",'F-TIV'!Q177,"")</f>
        <v/>
      </c>
      <c r="F180" s="1502" t="str">
        <f>IF('F-TIV'!R177&lt;&gt;"",'F-TIV'!R177,"")</f>
        <v/>
      </c>
      <c r="G180" s="1505" t="str">
        <f>IF('F-TIV'!S177&lt;&gt;"",'F-TIV'!S177,"")</f>
        <v/>
      </c>
      <c r="H180" s="1501" t="str">
        <f>IF('F-TIV'!F177&lt;&gt;"",'F-TIV'!F177,"")</f>
        <v/>
      </c>
      <c r="I180" s="1500" t="str">
        <f>IF(AND(C180&lt;&gt;"",C180&lt;&gt;"Vacant",C180&lt;&gt;"Manager"),IF('F-TIV'!H177&lt;&gt;"",'F-TIV'!H177,""),"")</f>
        <v/>
      </c>
      <c r="J180" s="1500" t="str">
        <f>IF(AND(C180&lt;&gt;"",C180&lt;&gt;"Vacant",C180&lt;&gt;"Manager"),IF('F-TIV'!J177&lt;&gt;0,'F-TIV'!J177,"$0"),"")</f>
        <v/>
      </c>
      <c r="K180" s="1500" t="str">
        <f t="shared" si="61"/>
        <v/>
      </c>
      <c r="L180" s="1504" t="str">
        <f t="shared" si="62"/>
        <v/>
      </c>
      <c r="M180" s="1504" t="str">
        <f t="shared" si="63"/>
        <v/>
      </c>
      <c r="N180" s="1504" t="str">
        <f t="shared" si="64"/>
        <v/>
      </c>
      <c r="O180" s="1504" t="str">
        <f t="shared" si="65"/>
        <v/>
      </c>
      <c r="P180" s="1504" t="str">
        <f t="shared" si="66"/>
        <v/>
      </c>
      <c r="Q180" s="1504" t="str">
        <f t="shared" si="67"/>
        <v/>
      </c>
      <c r="R180" s="1504" t="str">
        <f t="shared" si="68"/>
        <v/>
      </c>
      <c r="S180" s="1504" t="str">
        <f t="shared" si="69"/>
        <v/>
      </c>
      <c r="T180" s="1504" t="str">
        <f t="shared" si="70"/>
        <v/>
      </c>
      <c r="U180" s="1504" t="str">
        <f t="shared" si="71"/>
        <v/>
      </c>
      <c r="V180" s="1503" t="str">
        <f>IF(AND(C180&lt;&gt;"",C180&lt;&gt;"Vacant",C180&lt;&gt;"Manager"),'F-TIV'!O177,"")</f>
        <v/>
      </c>
      <c r="W180" s="1502" t="str">
        <f>IF(AND(C180&lt;&gt;"",C180&lt;&gt;"Vacant",C180&lt;&gt;"Manager"),'F-TIV'!P177,"")</f>
        <v/>
      </c>
      <c r="X180" s="1498" t="str">
        <f t="shared" si="72"/>
        <v/>
      </c>
      <c r="Y180" s="1501" t="str">
        <f>IF('F-TIV'!G177&lt;&gt;"",'F-TIV'!G177,"")</f>
        <v/>
      </c>
      <c r="Z180" s="1500" t="str">
        <f>IF(AND(C180&lt;&gt;"",C180&lt;&gt;"Vacant",C180&lt;&gt;"Manager"),'F-TIV'!L177,"")</f>
        <v/>
      </c>
      <c r="AA180" s="1499" t="str">
        <f t="shared" si="73"/>
        <v/>
      </c>
      <c r="AB180" s="1498" t="str">
        <f t="shared" si="74"/>
        <v/>
      </c>
      <c r="AC180" s="1426"/>
      <c r="AD180" s="1426"/>
      <c r="AE180" s="1426"/>
      <c r="AG180" s="1497"/>
      <c r="AL180" s="1496"/>
      <c r="AN180" s="1496"/>
      <c r="AO180" s="1496"/>
      <c r="AP180" s="1496"/>
      <c r="AQ180" s="1496"/>
      <c r="AR180" s="1496"/>
    </row>
    <row r="181" spans="2:44" s="1442" customFormat="1" ht="11.25" customHeight="1">
      <c r="B181" s="1501" t="str">
        <f t="shared" si="60"/>
        <v>0</v>
      </c>
      <c r="C181" s="1506" t="str">
        <f>IF('F-TIV'!D178&lt;&gt;"",'F-TIV'!D178,"")</f>
        <v/>
      </c>
      <c r="D181" s="1501" t="str">
        <f>IF('F-TIV'!C178&lt;&gt;"",'F-TIV'!C178,"")</f>
        <v/>
      </c>
      <c r="E181" s="1502" t="str">
        <f>IF('F-TIV'!Q178&lt;&gt;"",'F-TIV'!Q178,"")</f>
        <v/>
      </c>
      <c r="F181" s="1502" t="str">
        <f>IF('F-TIV'!R178&lt;&gt;"",'F-TIV'!R178,"")</f>
        <v/>
      </c>
      <c r="G181" s="1505" t="str">
        <f>IF('F-TIV'!S178&lt;&gt;"",'F-TIV'!S178,"")</f>
        <v/>
      </c>
      <c r="H181" s="1501" t="str">
        <f>IF('F-TIV'!F178&lt;&gt;"",'F-TIV'!F178,"")</f>
        <v/>
      </c>
      <c r="I181" s="1500" t="str">
        <f>IF(AND(C181&lt;&gt;"",C181&lt;&gt;"Vacant",C181&lt;&gt;"Manager"),IF('F-TIV'!H178&lt;&gt;"",'F-TIV'!H178,""),"")</f>
        <v/>
      </c>
      <c r="J181" s="1500" t="str">
        <f>IF(AND(C181&lt;&gt;"",C181&lt;&gt;"Vacant",C181&lt;&gt;"Manager"),IF('F-TIV'!J178&lt;&gt;0,'F-TIV'!J178,"$0"),"")</f>
        <v/>
      </c>
      <c r="K181" s="1500" t="str">
        <f t="shared" si="61"/>
        <v/>
      </c>
      <c r="L181" s="1504" t="str">
        <f t="shared" si="62"/>
        <v/>
      </c>
      <c r="M181" s="1504" t="str">
        <f t="shared" si="63"/>
        <v/>
      </c>
      <c r="N181" s="1504" t="str">
        <f t="shared" si="64"/>
        <v/>
      </c>
      <c r="O181" s="1504" t="str">
        <f t="shared" si="65"/>
        <v/>
      </c>
      <c r="P181" s="1504" t="str">
        <f t="shared" si="66"/>
        <v/>
      </c>
      <c r="Q181" s="1504" t="str">
        <f t="shared" si="67"/>
        <v/>
      </c>
      <c r="R181" s="1504" t="str">
        <f t="shared" si="68"/>
        <v/>
      </c>
      <c r="S181" s="1504" t="str">
        <f t="shared" si="69"/>
        <v/>
      </c>
      <c r="T181" s="1504" t="str">
        <f t="shared" si="70"/>
        <v/>
      </c>
      <c r="U181" s="1504" t="str">
        <f t="shared" si="71"/>
        <v/>
      </c>
      <c r="V181" s="1503" t="str">
        <f>IF(AND(C181&lt;&gt;"",C181&lt;&gt;"Vacant",C181&lt;&gt;"Manager"),'F-TIV'!O178,"")</f>
        <v/>
      </c>
      <c r="W181" s="1502" t="str">
        <f>IF(AND(C181&lt;&gt;"",C181&lt;&gt;"Vacant",C181&lt;&gt;"Manager"),'F-TIV'!P178,"")</f>
        <v/>
      </c>
      <c r="X181" s="1498" t="str">
        <f t="shared" si="72"/>
        <v/>
      </c>
      <c r="Y181" s="1501" t="str">
        <f>IF('F-TIV'!G178&lt;&gt;"",'F-TIV'!G178,"")</f>
        <v/>
      </c>
      <c r="Z181" s="1500" t="str">
        <f>IF(AND(C181&lt;&gt;"",C181&lt;&gt;"Vacant",C181&lt;&gt;"Manager"),'F-TIV'!L178,"")</f>
        <v/>
      </c>
      <c r="AA181" s="1499" t="str">
        <f t="shared" si="73"/>
        <v/>
      </c>
      <c r="AB181" s="1498" t="str">
        <f t="shared" si="74"/>
        <v/>
      </c>
      <c r="AC181" s="1426"/>
      <c r="AD181" s="1426"/>
      <c r="AE181" s="1426"/>
      <c r="AG181" s="1497"/>
      <c r="AL181" s="1496"/>
      <c r="AN181" s="1496"/>
      <c r="AO181" s="1496"/>
      <c r="AP181" s="1496"/>
      <c r="AQ181" s="1496"/>
      <c r="AR181" s="1496"/>
    </row>
    <row r="182" spans="2:44" s="1442" customFormat="1" ht="11.25" customHeight="1">
      <c r="B182" s="1501" t="str">
        <f t="shared" si="60"/>
        <v>0</v>
      </c>
      <c r="C182" s="1506" t="str">
        <f>IF('F-TIV'!D179&lt;&gt;"",'F-TIV'!D179,"")</f>
        <v/>
      </c>
      <c r="D182" s="1501" t="str">
        <f>IF('F-TIV'!C179&lt;&gt;"",'F-TIV'!C179,"")</f>
        <v/>
      </c>
      <c r="E182" s="1502" t="str">
        <f>IF('F-TIV'!Q179&lt;&gt;"",'F-TIV'!Q179,"")</f>
        <v/>
      </c>
      <c r="F182" s="1502" t="str">
        <f>IF('F-TIV'!R179&lt;&gt;"",'F-TIV'!R179,"")</f>
        <v/>
      </c>
      <c r="G182" s="1505" t="str">
        <f>IF('F-TIV'!S179&lt;&gt;"",'F-TIV'!S179,"")</f>
        <v/>
      </c>
      <c r="H182" s="1501" t="str">
        <f>IF('F-TIV'!F179&lt;&gt;"",'F-TIV'!F179,"")</f>
        <v/>
      </c>
      <c r="I182" s="1500" t="str">
        <f>IF(AND(C182&lt;&gt;"",C182&lt;&gt;"Vacant",C182&lt;&gt;"Manager"),IF('F-TIV'!H179&lt;&gt;"",'F-TIV'!H179,""),"")</f>
        <v/>
      </c>
      <c r="J182" s="1500" t="str">
        <f>IF(AND(C182&lt;&gt;"",C182&lt;&gt;"Vacant",C182&lt;&gt;"Manager"),IF('F-TIV'!J179&lt;&gt;0,'F-TIV'!J179,"$0"),"")</f>
        <v/>
      </c>
      <c r="K182" s="1500" t="str">
        <f t="shared" si="61"/>
        <v/>
      </c>
      <c r="L182" s="1504" t="str">
        <f t="shared" si="62"/>
        <v/>
      </c>
      <c r="M182" s="1504" t="str">
        <f t="shared" si="63"/>
        <v/>
      </c>
      <c r="N182" s="1504" t="str">
        <f t="shared" si="64"/>
        <v/>
      </c>
      <c r="O182" s="1504" t="str">
        <f t="shared" si="65"/>
        <v/>
      </c>
      <c r="P182" s="1504" t="str">
        <f t="shared" si="66"/>
        <v/>
      </c>
      <c r="Q182" s="1504" t="str">
        <f t="shared" si="67"/>
        <v/>
      </c>
      <c r="R182" s="1504" t="str">
        <f t="shared" si="68"/>
        <v/>
      </c>
      <c r="S182" s="1504" t="str">
        <f t="shared" si="69"/>
        <v/>
      </c>
      <c r="T182" s="1504" t="str">
        <f t="shared" si="70"/>
        <v/>
      </c>
      <c r="U182" s="1504" t="str">
        <f t="shared" si="71"/>
        <v/>
      </c>
      <c r="V182" s="1503" t="str">
        <f>IF(AND(C182&lt;&gt;"",C182&lt;&gt;"Vacant",C182&lt;&gt;"Manager"),'F-TIV'!O179,"")</f>
        <v/>
      </c>
      <c r="W182" s="1502" t="str">
        <f>IF(AND(C182&lt;&gt;"",C182&lt;&gt;"Vacant",C182&lt;&gt;"Manager"),'F-TIV'!P179,"")</f>
        <v/>
      </c>
      <c r="X182" s="1498" t="str">
        <f t="shared" si="72"/>
        <v/>
      </c>
      <c r="Y182" s="1501" t="str">
        <f>IF('F-TIV'!G179&lt;&gt;"",'F-TIV'!G179,"")</f>
        <v/>
      </c>
      <c r="Z182" s="1500" t="str">
        <f>IF(AND(C182&lt;&gt;"",C182&lt;&gt;"Vacant",C182&lt;&gt;"Manager"),'F-TIV'!L179,"")</f>
        <v/>
      </c>
      <c r="AA182" s="1499" t="str">
        <f t="shared" si="73"/>
        <v/>
      </c>
      <c r="AB182" s="1498" t="str">
        <f t="shared" si="74"/>
        <v/>
      </c>
      <c r="AC182" s="1426"/>
      <c r="AD182" s="1426"/>
      <c r="AE182" s="1426"/>
      <c r="AG182" s="1497"/>
      <c r="AL182" s="1496"/>
      <c r="AN182" s="1496"/>
      <c r="AO182" s="1496"/>
      <c r="AP182" s="1496"/>
      <c r="AQ182" s="1496"/>
      <c r="AR182" s="1496"/>
    </row>
    <row r="183" spans="2:44" s="1442" customFormat="1" ht="11.25" customHeight="1">
      <c r="B183" s="1501" t="str">
        <f t="shared" si="60"/>
        <v>0</v>
      </c>
      <c r="C183" s="1506" t="str">
        <f>IF('F-TIV'!D180&lt;&gt;"",'F-TIV'!D180,"")</f>
        <v/>
      </c>
      <c r="D183" s="1501" t="str">
        <f>IF('F-TIV'!C180&lt;&gt;"",'F-TIV'!C180,"")</f>
        <v/>
      </c>
      <c r="E183" s="1502" t="str">
        <f>IF('F-TIV'!Q180&lt;&gt;"",'F-TIV'!Q180,"")</f>
        <v/>
      </c>
      <c r="F183" s="1502" t="str">
        <f>IF('F-TIV'!R180&lt;&gt;"",'F-TIV'!R180,"")</f>
        <v/>
      </c>
      <c r="G183" s="1505" t="str">
        <f>IF('F-TIV'!S180&lt;&gt;"",'F-TIV'!S180,"")</f>
        <v/>
      </c>
      <c r="H183" s="1501" t="str">
        <f>IF('F-TIV'!F180&lt;&gt;"",'F-TIV'!F180,"")</f>
        <v/>
      </c>
      <c r="I183" s="1500" t="str">
        <f>IF(AND(C183&lt;&gt;"",C183&lt;&gt;"Vacant",C183&lt;&gt;"Manager"),IF('F-TIV'!H180&lt;&gt;"",'F-TIV'!H180,""),"")</f>
        <v/>
      </c>
      <c r="J183" s="1500" t="str">
        <f>IF(AND(C183&lt;&gt;"",C183&lt;&gt;"Vacant",C183&lt;&gt;"Manager"),IF('F-TIV'!J180&lt;&gt;0,'F-TIV'!J180,"$0"),"")</f>
        <v/>
      </c>
      <c r="K183" s="1500" t="str">
        <f t="shared" si="61"/>
        <v/>
      </c>
      <c r="L183" s="1504" t="str">
        <f t="shared" si="62"/>
        <v/>
      </c>
      <c r="M183" s="1504" t="str">
        <f t="shared" si="63"/>
        <v/>
      </c>
      <c r="N183" s="1504" t="str">
        <f t="shared" si="64"/>
        <v/>
      </c>
      <c r="O183" s="1504" t="str">
        <f t="shared" si="65"/>
        <v/>
      </c>
      <c r="P183" s="1504" t="str">
        <f t="shared" si="66"/>
        <v/>
      </c>
      <c r="Q183" s="1504" t="str">
        <f t="shared" si="67"/>
        <v/>
      </c>
      <c r="R183" s="1504" t="str">
        <f t="shared" si="68"/>
        <v/>
      </c>
      <c r="S183" s="1504" t="str">
        <f t="shared" si="69"/>
        <v/>
      </c>
      <c r="T183" s="1504" t="str">
        <f t="shared" si="70"/>
        <v/>
      </c>
      <c r="U183" s="1504" t="str">
        <f t="shared" si="71"/>
        <v/>
      </c>
      <c r="V183" s="1503" t="str">
        <f>IF(AND(C183&lt;&gt;"",C183&lt;&gt;"Vacant",C183&lt;&gt;"Manager"),'F-TIV'!O180,"")</f>
        <v/>
      </c>
      <c r="W183" s="1502" t="str">
        <f>IF(AND(C183&lt;&gt;"",C183&lt;&gt;"Vacant",C183&lt;&gt;"Manager"),'F-TIV'!P180,"")</f>
        <v/>
      </c>
      <c r="X183" s="1498" t="str">
        <f t="shared" si="72"/>
        <v/>
      </c>
      <c r="Y183" s="1501" t="str">
        <f>IF('F-TIV'!G180&lt;&gt;"",'F-TIV'!G180,"")</f>
        <v/>
      </c>
      <c r="Z183" s="1500" t="str">
        <f>IF(AND(C183&lt;&gt;"",C183&lt;&gt;"Vacant",C183&lt;&gt;"Manager"),'F-TIV'!L180,"")</f>
        <v/>
      </c>
      <c r="AA183" s="1499" t="str">
        <f t="shared" si="73"/>
        <v/>
      </c>
      <c r="AB183" s="1498" t="str">
        <f t="shared" si="74"/>
        <v/>
      </c>
      <c r="AC183" s="1426"/>
      <c r="AD183" s="1426"/>
      <c r="AE183" s="1426"/>
      <c r="AG183" s="1497"/>
      <c r="AL183" s="1496"/>
      <c r="AN183" s="1496"/>
      <c r="AO183" s="1496"/>
      <c r="AP183" s="1496"/>
      <c r="AQ183" s="1496"/>
      <c r="AR183" s="1496"/>
    </row>
    <row r="184" spans="2:44" s="1442" customFormat="1" ht="11.25" customHeight="1">
      <c r="B184" s="1501" t="str">
        <f t="shared" si="60"/>
        <v>0</v>
      </c>
      <c r="C184" s="1506" t="str">
        <f>IF('F-TIV'!D181&lt;&gt;"",'F-TIV'!D181,"")</f>
        <v/>
      </c>
      <c r="D184" s="1501" t="str">
        <f>IF('F-TIV'!C181&lt;&gt;"",'F-TIV'!C181,"")</f>
        <v/>
      </c>
      <c r="E184" s="1502" t="str">
        <f>IF('F-TIV'!Q181&lt;&gt;"",'F-TIV'!Q181,"")</f>
        <v/>
      </c>
      <c r="F184" s="1502" t="str">
        <f>IF('F-TIV'!R181&lt;&gt;"",'F-TIV'!R181,"")</f>
        <v/>
      </c>
      <c r="G184" s="1505" t="str">
        <f>IF('F-TIV'!S181&lt;&gt;"",'F-TIV'!S181,"")</f>
        <v/>
      </c>
      <c r="H184" s="1501" t="str">
        <f>IF('F-TIV'!F181&lt;&gt;"",'F-TIV'!F181,"")</f>
        <v/>
      </c>
      <c r="I184" s="1500" t="str">
        <f>IF(AND(C184&lt;&gt;"",C184&lt;&gt;"Vacant",C184&lt;&gt;"Manager"),IF('F-TIV'!H181&lt;&gt;"",'F-TIV'!H181,""),"")</f>
        <v/>
      </c>
      <c r="J184" s="1500" t="str">
        <f>IF(AND(C184&lt;&gt;"",C184&lt;&gt;"Vacant",C184&lt;&gt;"Manager"),IF('F-TIV'!J181&lt;&gt;0,'F-TIV'!J181,"$0"),"")</f>
        <v/>
      </c>
      <c r="K184" s="1500" t="str">
        <f t="shared" si="61"/>
        <v/>
      </c>
      <c r="L184" s="1504" t="str">
        <f t="shared" si="62"/>
        <v/>
      </c>
      <c r="M184" s="1504" t="str">
        <f t="shared" si="63"/>
        <v/>
      </c>
      <c r="N184" s="1504" t="str">
        <f t="shared" si="64"/>
        <v/>
      </c>
      <c r="O184" s="1504" t="str">
        <f t="shared" si="65"/>
        <v/>
      </c>
      <c r="P184" s="1504" t="str">
        <f t="shared" si="66"/>
        <v/>
      </c>
      <c r="Q184" s="1504" t="str">
        <f t="shared" si="67"/>
        <v/>
      </c>
      <c r="R184" s="1504" t="str">
        <f t="shared" si="68"/>
        <v/>
      </c>
      <c r="S184" s="1504" t="str">
        <f t="shared" si="69"/>
        <v/>
      </c>
      <c r="T184" s="1504" t="str">
        <f t="shared" si="70"/>
        <v/>
      </c>
      <c r="U184" s="1504" t="str">
        <f t="shared" si="71"/>
        <v/>
      </c>
      <c r="V184" s="1503" t="str">
        <f>IF(AND(C184&lt;&gt;"",C184&lt;&gt;"Vacant",C184&lt;&gt;"Manager"),'F-TIV'!O181,"")</f>
        <v/>
      </c>
      <c r="W184" s="1502" t="str">
        <f>IF(AND(C184&lt;&gt;"",C184&lt;&gt;"Vacant",C184&lt;&gt;"Manager"),'F-TIV'!P181,"")</f>
        <v/>
      </c>
      <c r="X184" s="1498" t="str">
        <f t="shared" si="72"/>
        <v/>
      </c>
      <c r="Y184" s="1501" t="str">
        <f>IF('F-TIV'!G181&lt;&gt;"",'F-TIV'!G181,"")</f>
        <v/>
      </c>
      <c r="Z184" s="1500" t="str">
        <f>IF(AND(C184&lt;&gt;"",C184&lt;&gt;"Vacant",C184&lt;&gt;"Manager"),'F-TIV'!L181,"")</f>
        <v/>
      </c>
      <c r="AA184" s="1499" t="str">
        <f t="shared" si="73"/>
        <v/>
      </c>
      <c r="AB184" s="1498" t="str">
        <f t="shared" si="74"/>
        <v/>
      </c>
      <c r="AC184" s="1426"/>
      <c r="AD184" s="1426"/>
      <c r="AE184" s="1426"/>
      <c r="AG184" s="1497"/>
      <c r="AL184" s="1496"/>
      <c r="AN184" s="1496"/>
      <c r="AO184" s="1496"/>
      <c r="AP184" s="1496"/>
      <c r="AQ184" s="1496"/>
      <c r="AR184" s="1496"/>
    </row>
    <row r="185" spans="2:44" s="1442" customFormat="1" ht="11.25" customHeight="1">
      <c r="B185" s="1501" t="str">
        <f t="shared" si="60"/>
        <v>0</v>
      </c>
      <c r="C185" s="1506" t="str">
        <f>IF('F-TIV'!D182&lt;&gt;"",'F-TIV'!D182,"")</f>
        <v/>
      </c>
      <c r="D185" s="1501" t="str">
        <f>IF('F-TIV'!C182&lt;&gt;"",'F-TIV'!C182,"")</f>
        <v/>
      </c>
      <c r="E185" s="1502" t="str">
        <f>IF('F-TIV'!Q182&lt;&gt;"",'F-TIV'!Q182,"")</f>
        <v/>
      </c>
      <c r="F185" s="1502" t="str">
        <f>IF('F-TIV'!R182&lt;&gt;"",'F-TIV'!R182,"")</f>
        <v/>
      </c>
      <c r="G185" s="1505" t="str">
        <f>IF('F-TIV'!S182&lt;&gt;"",'F-TIV'!S182,"")</f>
        <v/>
      </c>
      <c r="H185" s="1501" t="str">
        <f>IF('F-TIV'!F182&lt;&gt;"",'F-TIV'!F182,"")</f>
        <v/>
      </c>
      <c r="I185" s="1500" t="str">
        <f>IF(AND(C185&lt;&gt;"",C185&lt;&gt;"Vacant",C185&lt;&gt;"Manager"),IF('F-TIV'!H182&lt;&gt;"",'F-TIV'!H182,""),"")</f>
        <v/>
      </c>
      <c r="J185" s="1500" t="str">
        <f>IF(AND(C185&lt;&gt;"",C185&lt;&gt;"Vacant",C185&lt;&gt;"Manager"),IF('F-TIV'!J182&lt;&gt;0,'F-TIV'!J182,"$0"),"")</f>
        <v/>
      </c>
      <c r="K185" s="1500" t="str">
        <f t="shared" si="61"/>
        <v/>
      </c>
      <c r="L185" s="1504" t="str">
        <f t="shared" si="62"/>
        <v/>
      </c>
      <c r="M185" s="1504" t="str">
        <f t="shared" si="63"/>
        <v/>
      </c>
      <c r="N185" s="1504" t="str">
        <f t="shared" si="64"/>
        <v/>
      </c>
      <c r="O185" s="1504" t="str">
        <f t="shared" si="65"/>
        <v/>
      </c>
      <c r="P185" s="1504" t="str">
        <f t="shared" si="66"/>
        <v/>
      </c>
      <c r="Q185" s="1504" t="str">
        <f t="shared" si="67"/>
        <v/>
      </c>
      <c r="R185" s="1504" t="str">
        <f t="shared" si="68"/>
        <v/>
      </c>
      <c r="S185" s="1504" t="str">
        <f t="shared" si="69"/>
        <v/>
      </c>
      <c r="T185" s="1504" t="str">
        <f t="shared" si="70"/>
        <v/>
      </c>
      <c r="U185" s="1504" t="str">
        <f t="shared" si="71"/>
        <v/>
      </c>
      <c r="V185" s="1503" t="str">
        <f>IF(AND(C185&lt;&gt;"",C185&lt;&gt;"Vacant",C185&lt;&gt;"Manager"),'F-TIV'!O182,"")</f>
        <v/>
      </c>
      <c r="W185" s="1502" t="str">
        <f>IF(AND(C185&lt;&gt;"",C185&lt;&gt;"Vacant",C185&lt;&gt;"Manager"),'F-TIV'!P182,"")</f>
        <v/>
      </c>
      <c r="X185" s="1498" t="str">
        <f t="shared" si="72"/>
        <v/>
      </c>
      <c r="Y185" s="1501" t="str">
        <f>IF('F-TIV'!G182&lt;&gt;"",'F-TIV'!G182,"")</f>
        <v/>
      </c>
      <c r="Z185" s="1500" t="str">
        <f>IF(AND(C185&lt;&gt;"",C185&lt;&gt;"Vacant",C185&lt;&gt;"Manager"),'F-TIV'!L182,"")</f>
        <v/>
      </c>
      <c r="AA185" s="1499" t="str">
        <f t="shared" si="73"/>
        <v/>
      </c>
      <c r="AB185" s="1498" t="str">
        <f t="shared" si="74"/>
        <v/>
      </c>
      <c r="AC185" s="1426"/>
      <c r="AD185" s="1426"/>
      <c r="AE185" s="1426"/>
      <c r="AG185" s="1497"/>
      <c r="AL185" s="1496"/>
      <c r="AN185" s="1496"/>
      <c r="AO185" s="1496"/>
      <c r="AP185" s="1496"/>
      <c r="AQ185" s="1496"/>
      <c r="AR185" s="1496"/>
    </row>
    <row r="186" spans="2:44" s="1442" customFormat="1" ht="11.25" customHeight="1">
      <c r="B186" s="1501" t="str">
        <f t="shared" si="60"/>
        <v>0</v>
      </c>
      <c r="C186" s="1506" t="str">
        <f>IF('F-TIV'!D183&lt;&gt;"",'F-TIV'!D183,"")</f>
        <v/>
      </c>
      <c r="D186" s="1501" t="str">
        <f>IF('F-TIV'!C183&lt;&gt;"",'F-TIV'!C183,"")</f>
        <v/>
      </c>
      <c r="E186" s="1502" t="str">
        <f>IF('F-TIV'!Q183&lt;&gt;"",'F-TIV'!Q183,"")</f>
        <v/>
      </c>
      <c r="F186" s="1502" t="str">
        <f>IF('F-TIV'!R183&lt;&gt;"",'F-TIV'!R183,"")</f>
        <v/>
      </c>
      <c r="G186" s="1505" t="str">
        <f>IF('F-TIV'!S183&lt;&gt;"",'F-TIV'!S183,"")</f>
        <v/>
      </c>
      <c r="H186" s="1501" t="str">
        <f>IF('F-TIV'!F183&lt;&gt;"",'F-TIV'!F183,"")</f>
        <v/>
      </c>
      <c r="I186" s="1500" t="str">
        <f>IF(AND(C186&lt;&gt;"",C186&lt;&gt;"Vacant",C186&lt;&gt;"Manager"),IF('F-TIV'!H183&lt;&gt;"",'F-TIV'!H183,""),"")</f>
        <v/>
      </c>
      <c r="J186" s="1500" t="str">
        <f>IF(AND(C186&lt;&gt;"",C186&lt;&gt;"Vacant",C186&lt;&gt;"Manager"),IF('F-TIV'!J183&lt;&gt;0,'F-TIV'!J183,"$0"),"")</f>
        <v/>
      </c>
      <c r="K186" s="1500" t="str">
        <f t="shared" si="61"/>
        <v/>
      </c>
      <c r="L186" s="1504" t="str">
        <f t="shared" si="62"/>
        <v/>
      </c>
      <c r="M186" s="1504" t="str">
        <f t="shared" si="63"/>
        <v/>
      </c>
      <c r="N186" s="1504" t="str">
        <f t="shared" si="64"/>
        <v/>
      </c>
      <c r="O186" s="1504" t="str">
        <f t="shared" si="65"/>
        <v/>
      </c>
      <c r="P186" s="1504" t="str">
        <f t="shared" si="66"/>
        <v/>
      </c>
      <c r="Q186" s="1504" t="str">
        <f t="shared" si="67"/>
        <v/>
      </c>
      <c r="R186" s="1504" t="str">
        <f t="shared" si="68"/>
        <v/>
      </c>
      <c r="S186" s="1504" t="str">
        <f t="shared" si="69"/>
        <v/>
      </c>
      <c r="T186" s="1504" t="str">
        <f t="shared" si="70"/>
        <v/>
      </c>
      <c r="U186" s="1504" t="str">
        <f t="shared" si="71"/>
        <v/>
      </c>
      <c r="V186" s="1503" t="str">
        <f>IF(AND(C186&lt;&gt;"",C186&lt;&gt;"Vacant",C186&lt;&gt;"Manager"),'F-TIV'!O183,"")</f>
        <v/>
      </c>
      <c r="W186" s="1502" t="str">
        <f>IF(AND(C186&lt;&gt;"",C186&lt;&gt;"Vacant",C186&lt;&gt;"Manager"),'F-TIV'!P183,"")</f>
        <v/>
      </c>
      <c r="X186" s="1498" t="str">
        <f t="shared" si="72"/>
        <v/>
      </c>
      <c r="Y186" s="1501" t="str">
        <f>IF('F-TIV'!G183&lt;&gt;"",'F-TIV'!G183,"")</f>
        <v/>
      </c>
      <c r="Z186" s="1500" t="str">
        <f>IF(AND(C186&lt;&gt;"",C186&lt;&gt;"Vacant",C186&lt;&gt;"Manager"),'F-TIV'!L183,"")</f>
        <v/>
      </c>
      <c r="AA186" s="1499" t="str">
        <f t="shared" si="73"/>
        <v/>
      </c>
      <c r="AB186" s="1498" t="str">
        <f t="shared" si="74"/>
        <v/>
      </c>
      <c r="AC186" s="1426"/>
      <c r="AD186" s="1426"/>
      <c r="AE186" s="1426"/>
      <c r="AG186" s="1497"/>
      <c r="AL186" s="1496"/>
      <c r="AN186" s="1496"/>
      <c r="AO186" s="1496"/>
      <c r="AP186" s="1496"/>
      <c r="AQ186" s="1496"/>
      <c r="AR186" s="1496"/>
    </row>
    <row r="187" spans="2:44" s="1442" customFormat="1" ht="11.25" customHeight="1">
      <c r="B187" s="1501" t="str">
        <f t="shared" si="60"/>
        <v>0</v>
      </c>
      <c r="C187" s="1506" t="str">
        <f>IF('F-TIV'!D184&lt;&gt;"",'F-TIV'!D184,"")</f>
        <v/>
      </c>
      <c r="D187" s="1501" t="str">
        <f>IF('F-TIV'!C184&lt;&gt;"",'F-TIV'!C184,"")</f>
        <v/>
      </c>
      <c r="E187" s="1502" t="str">
        <f>IF('F-TIV'!Q184&lt;&gt;"",'F-TIV'!Q184,"")</f>
        <v/>
      </c>
      <c r="F187" s="1502" t="str">
        <f>IF('F-TIV'!R184&lt;&gt;"",'F-TIV'!R184,"")</f>
        <v/>
      </c>
      <c r="G187" s="1505" t="str">
        <f>IF('F-TIV'!S184&lt;&gt;"",'F-TIV'!S184,"")</f>
        <v/>
      </c>
      <c r="H187" s="1501" t="str">
        <f>IF('F-TIV'!F184&lt;&gt;"",'F-TIV'!F184,"")</f>
        <v/>
      </c>
      <c r="I187" s="1500" t="str">
        <f>IF(AND(C187&lt;&gt;"",C187&lt;&gt;"Vacant",C187&lt;&gt;"Manager"),IF('F-TIV'!H184&lt;&gt;"",'F-TIV'!H184,""),"")</f>
        <v/>
      </c>
      <c r="J187" s="1500" t="str">
        <f>IF(AND(C187&lt;&gt;"",C187&lt;&gt;"Vacant",C187&lt;&gt;"Manager"),IF('F-TIV'!J184&lt;&gt;0,'F-TIV'!J184,"$0"),"")</f>
        <v/>
      </c>
      <c r="K187" s="1500" t="str">
        <f t="shared" si="61"/>
        <v/>
      </c>
      <c r="L187" s="1504" t="str">
        <f t="shared" si="62"/>
        <v/>
      </c>
      <c r="M187" s="1504" t="str">
        <f t="shared" si="63"/>
        <v/>
      </c>
      <c r="N187" s="1504" t="str">
        <f t="shared" si="64"/>
        <v/>
      </c>
      <c r="O187" s="1504" t="str">
        <f t="shared" si="65"/>
        <v/>
      </c>
      <c r="P187" s="1504" t="str">
        <f t="shared" si="66"/>
        <v/>
      </c>
      <c r="Q187" s="1504" t="str">
        <f t="shared" si="67"/>
        <v/>
      </c>
      <c r="R187" s="1504" t="str">
        <f t="shared" si="68"/>
        <v/>
      </c>
      <c r="S187" s="1504" t="str">
        <f t="shared" si="69"/>
        <v/>
      </c>
      <c r="T187" s="1504" t="str">
        <f t="shared" si="70"/>
        <v/>
      </c>
      <c r="U187" s="1504" t="str">
        <f t="shared" si="71"/>
        <v/>
      </c>
      <c r="V187" s="1503" t="str">
        <f>IF(AND(C187&lt;&gt;"",C187&lt;&gt;"Vacant",C187&lt;&gt;"Manager"),'F-TIV'!O184,"")</f>
        <v/>
      </c>
      <c r="W187" s="1502" t="str">
        <f>IF(AND(C187&lt;&gt;"",C187&lt;&gt;"Vacant",C187&lt;&gt;"Manager"),'F-TIV'!P184,"")</f>
        <v/>
      </c>
      <c r="X187" s="1498" t="str">
        <f t="shared" si="72"/>
        <v/>
      </c>
      <c r="Y187" s="1501" t="str">
        <f>IF('F-TIV'!G184&lt;&gt;"",'F-TIV'!G184,"")</f>
        <v/>
      </c>
      <c r="Z187" s="1500" t="str">
        <f>IF(AND(C187&lt;&gt;"",C187&lt;&gt;"Vacant",C187&lt;&gt;"Manager"),'F-TIV'!L184,"")</f>
        <v/>
      </c>
      <c r="AA187" s="1499" t="str">
        <f t="shared" si="73"/>
        <v/>
      </c>
      <c r="AB187" s="1498" t="str">
        <f t="shared" si="74"/>
        <v/>
      </c>
      <c r="AC187" s="1426"/>
      <c r="AD187" s="1426"/>
      <c r="AE187" s="1426"/>
      <c r="AG187" s="1497"/>
      <c r="AL187" s="1496"/>
      <c r="AN187" s="1496"/>
      <c r="AO187" s="1496"/>
      <c r="AP187" s="1496"/>
      <c r="AQ187" s="1496"/>
      <c r="AR187" s="1496"/>
    </row>
    <row r="188" spans="2:44" s="1442" customFormat="1" ht="11.25" customHeight="1">
      <c r="B188" s="1501" t="str">
        <f t="shared" si="60"/>
        <v>0</v>
      </c>
      <c r="C188" s="1506" t="str">
        <f>IF('F-TIV'!D185&lt;&gt;"",'F-TIV'!D185,"")</f>
        <v/>
      </c>
      <c r="D188" s="1501" t="str">
        <f>IF('F-TIV'!C185&lt;&gt;"",'F-TIV'!C185,"")</f>
        <v/>
      </c>
      <c r="E188" s="1502" t="str">
        <f>IF('F-TIV'!Q185&lt;&gt;"",'F-TIV'!Q185,"")</f>
        <v/>
      </c>
      <c r="F188" s="1502" t="str">
        <f>IF('F-TIV'!R185&lt;&gt;"",'F-TIV'!R185,"")</f>
        <v/>
      </c>
      <c r="G188" s="1505" t="str">
        <f>IF('F-TIV'!S185&lt;&gt;"",'F-TIV'!S185,"")</f>
        <v/>
      </c>
      <c r="H188" s="1501" t="str">
        <f>IF('F-TIV'!F185&lt;&gt;"",'F-TIV'!F185,"")</f>
        <v/>
      </c>
      <c r="I188" s="1500" t="str">
        <f>IF(AND(C188&lt;&gt;"",C188&lt;&gt;"Vacant",C188&lt;&gt;"Manager"),IF('F-TIV'!H185&lt;&gt;"",'F-TIV'!H185,""),"")</f>
        <v/>
      </c>
      <c r="J188" s="1500" t="str">
        <f>IF(AND(C188&lt;&gt;"",C188&lt;&gt;"Vacant",C188&lt;&gt;"Manager"),IF('F-TIV'!J185&lt;&gt;0,'F-TIV'!J185,"$0"),"")</f>
        <v/>
      </c>
      <c r="K188" s="1500" t="str">
        <f t="shared" si="61"/>
        <v/>
      </c>
      <c r="L188" s="1504" t="str">
        <f t="shared" si="62"/>
        <v/>
      </c>
      <c r="M188" s="1504" t="str">
        <f t="shared" si="63"/>
        <v/>
      </c>
      <c r="N188" s="1504" t="str">
        <f t="shared" si="64"/>
        <v/>
      </c>
      <c r="O188" s="1504" t="str">
        <f t="shared" si="65"/>
        <v/>
      </c>
      <c r="P188" s="1504" t="str">
        <f t="shared" si="66"/>
        <v/>
      </c>
      <c r="Q188" s="1504" t="str">
        <f t="shared" si="67"/>
        <v/>
      </c>
      <c r="R188" s="1504" t="str">
        <f t="shared" si="68"/>
        <v/>
      </c>
      <c r="S188" s="1504" t="str">
        <f t="shared" si="69"/>
        <v/>
      </c>
      <c r="T188" s="1504" t="str">
        <f t="shared" si="70"/>
        <v/>
      </c>
      <c r="U188" s="1504" t="str">
        <f t="shared" si="71"/>
        <v/>
      </c>
      <c r="V188" s="1503" t="str">
        <f>IF(AND(C188&lt;&gt;"",C188&lt;&gt;"Vacant",C188&lt;&gt;"Manager"),'F-TIV'!O185,"")</f>
        <v/>
      </c>
      <c r="W188" s="1502" t="str">
        <f>IF(AND(C188&lt;&gt;"",C188&lt;&gt;"Vacant",C188&lt;&gt;"Manager"),'F-TIV'!P185,"")</f>
        <v/>
      </c>
      <c r="X188" s="1498" t="str">
        <f t="shared" si="72"/>
        <v/>
      </c>
      <c r="Y188" s="1501" t="str">
        <f>IF('F-TIV'!G185&lt;&gt;"",'F-TIV'!G185,"")</f>
        <v/>
      </c>
      <c r="Z188" s="1500" t="str">
        <f>IF(AND(C188&lt;&gt;"",C188&lt;&gt;"Vacant",C188&lt;&gt;"Manager"),'F-TIV'!L185,"")</f>
        <v/>
      </c>
      <c r="AA188" s="1499" t="str">
        <f t="shared" si="73"/>
        <v/>
      </c>
      <c r="AB188" s="1498" t="str">
        <f t="shared" si="74"/>
        <v/>
      </c>
      <c r="AC188" s="1426"/>
      <c r="AD188" s="1426"/>
      <c r="AE188" s="1426"/>
      <c r="AG188" s="1497"/>
      <c r="AL188" s="1496"/>
      <c r="AN188" s="1496"/>
      <c r="AO188" s="1496"/>
      <c r="AP188" s="1496"/>
      <c r="AQ188" s="1496"/>
      <c r="AR188" s="1496"/>
    </row>
    <row r="189" spans="2:44" s="1442" customFormat="1" ht="11.25" customHeight="1">
      <c r="B189" s="1501" t="str">
        <f t="shared" si="60"/>
        <v>0</v>
      </c>
      <c r="C189" s="1506" t="str">
        <f>IF('F-TIV'!D186&lt;&gt;"",'F-TIV'!D186,"")</f>
        <v/>
      </c>
      <c r="D189" s="1501" t="str">
        <f>IF('F-TIV'!C186&lt;&gt;"",'F-TIV'!C186,"")</f>
        <v/>
      </c>
      <c r="E189" s="1502" t="str">
        <f>IF('F-TIV'!Q186&lt;&gt;"",'F-TIV'!Q186,"")</f>
        <v/>
      </c>
      <c r="F189" s="1502" t="str">
        <f>IF('F-TIV'!R186&lt;&gt;"",'F-TIV'!R186,"")</f>
        <v/>
      </c>
      <c r="G189" s="1505" t="str">
        <f>IF('F-TIV'!S186&lt;&gt;"",'F-TIV'!S186,"")</f>
        <v/>
      </c>
      <c r="H189" s="1501" t="str">
        <f>IF('F-TIV'!F186&lt;&gt;"",'F-TIV'!F186,"")</f>
        <v/>
      </c>
      <c r="I189" s="1500" t="str">
        <f>IF(AND(C189&lt;&gt;"",C189&lt;&gt;"Vacant",C189&lt;&gt;"Manager"),IF('F-TIV'!H186&lt;&gt;"",'F-TIV'!H186,""),"")</f>
        <v/>
      </c>
      <c r="J189" s="1500" t="str">
        <f>IF(AND(C189&lt;&gt;"",C189&lt;&gt;"Vacant",C189&lt;&gt;"Manager"),IF('F-TIV'!J186&lt;&gt;0,'F-TIV'!J186,"$0"),"")</f>
        <v/>
      </c>
      <c r="K189" s="1500" t="str">
        <f t="shared" si="61"/>
        <v/>
      </c>
      <c r="L189" s="1504" t="str">
        <f t="shared" si="62"/>
        <v/>
      </c>
      <c r="M189" s="1504" t="str">
        <f t="shared" si="63"/>
        <v/>
      </c>
      <c r="N189" s="1504" t="str">
        <f t="shared" si="64"/>
        <v/>
      </c>
      <c r="O189" s="1504" t="str">
        <f t="shared" si="65"/>
        <v/>
      </c>
      <c r="P189" s="1504" t="str">
        <f t="shared" si="66"/>
        <v/>
      </c>
      <c r="Q189" s="1504" t="str">
        <f t="shared" si="67"/>
        <v/>
      </c>
      <c r="R189" s="1504" t="str">
        <f t="shared" si="68"/>
        <v/>
      </c>
      <c r="S189" s="1504" t="str">
        <f t="shared" si="69"/>
        <v/>
      </c>
      <c r="T189" s="1504" t="str">
        <f t="shared" si="70"/>
        <v/>
      </c>
      <c r="U189" s="1504" t="str">
        <f t="shared" si="71"/>
        <v/>
      </c>
      <c r="V189" s="1503" t="str">
        <f>IF(AND(C189&lt;&gt;"",C189&lt;&gt;"Vacant",C189&lt;&gt;"Manager"),'F-TIV'!O186,"")</f>
        <v/>
      </c>
      <c r="W189" s="1502" t="str">
        <f>IF(AND(C189&lt;&gt;"",C189&lt;&gt;"Vacant",C189&lt;&gt;"Manager"),'F-TIV'!P186,"")</f>
        <v/>
      </c>
      <c r="X189" s="1498" t="str">
        <f t="shared" si="72"/>
        <v/>
      </c>
      <c r="Y189" s="1501" t="str">
        <f>IF('F-TIV'!G186&lt;&gt;"",'F-TIV'!G186,"")</f>
        <v/>
      </c>
      <c r="Z189" s="1500" t="str">
        <f>IF(AND(C189&lt;&gt;"",C189&lt;&gt;"Vacant",C189&lt;&gt;"Manager"),'F-TIV'!L186,"")</f>
        <v/>
      </c>
      <c r="AA189" s="1499" t="str">
        <f t="shared" si="73"/>
        <v/>
      </c>
      <c r="AB189" s="1498" t="str">
        <f t="shared" si="74"/>
        <v/>
      </c>
      <c r="AC189" s="1426"/>
      <c r="AD189" s="1426"/>
      <c r="AE189" s="1426"/>
      <c r="AG189" s="1497"/>
      <c r="AL189" s="1496"/>
      <c r="AN189" s="1496"/>
      <c r="AO189" s="1496"/>
      <c r="AP189" s="1496"/>
      <c r="AQ189" s="1496"/>
      <c r="AR189" s="1496"/>
    </row>
    <row r="190" spans="2:44" s="1442" customFormat="1" ht="11.25" customHeight="1">
      <c r="B190" s="1501" t="str">
        <f t="shared" ref="B190:B221" si="75">IF((C190&lt;&gt;""),"1","0")</f>
        <v>0</v>
      </c>
      <c r="C190" s="1506" t="str">
        <f>IF('F-TIV'!D187&lt;&gt;"",'F-TIV'!D187,"")</f>
        <v/>
      </c>
      <c r="D190" s="1501" t="str">
        <f>IF('F-TIV'!C187&lt;&gt;"",'F-TIV'!C187,"")</f>
        <v/>
      </c>
      <c r="E190" s="1502" t="str">
        <f>IF('F-TIV'!Q187&lt;&gt;"",'F-TIV'!Q187,"")</f>
        <v/>
      </c>
      <c r="F190" s="1502" t="str">
        <f>IF('F-TIV'!R187&lt;&gt;"",'F-TIV'!R187,"")</f>
        <v/>
      </c>
      <c r="G190" s="1505" t="str">
        <f>IF('F-TIV'!S187&lt;&gt;"",'F-TIV'!S187,"")</f>
        <v/>
      </c>
      <c r="H190" s="1501" t="str">
        <f>IF('F-TIV'!F187&lt;&gt;"",'F-TIV'!F187,"")</f>
        <v/>
      </c>
      <c r="I190" s="1500" t="str">
        <f>IF(AND(C190&lt;&gt;"",C190&lt;&gt;"Vacant",C190&lt;&gt;"Manager"),IF('F-TIV'!H187&lt;&gt;"",'F-TIV'!H187,""),"")</f>
        <v/>
      </c>
      <c r="J190" s="1500" t="str">
        <f>IF(AND(C190&lt;&gt;"",C190&lt;&gt;"Vacant",C190&lt;&gt;"Manager"),IF('F-TIV'!J187&lt;&gt;0,'F-TIV'!J187,"$0"),"")</f>
        <v/>
      </c>
      <c r="K190" s="1500" t="str">
        <f t="shared" ref="K190:K221" si="76">IFERROR(I190-J190,"")</f>
        <v/>
      </c>
      <c r="L190" s="1504" t="str">
        <f t="shared" ref="L190:L221" si="77">IF(AND(C190&lt;&gt;"Vacant",C190&lt;&gt;"Manager",C190&lt;&gt;""),IF(C190="","",IF(H190="Studio",_VLI1,IF(H190=1,_VLI2,IF(H190=2,_VLI3,IF(H190=3,_VLI5,IF(H190=4,_VLI6,IF(H190=5,_VLI7,_VLI8))))))),"")</f>
        <v/>
      </c>
      <c r="M190" s="1504" t="str">
        <f t="shared" ref="M190:M221" si="78">IF(AND(C190&lt;&gt;"Vacant",C190&lt;&gt;"",C190&lt;&gt;"Manager"),(IF(L190&gt;=K190,"Yes",IF(L190&lt;K190,"No"))),"")</f>
        <v/>
      </c>
      <c r="N190" s="1504" t="str">
        <f t="shared" ref="N190:N221" si="79">IF(AND(C190&lt;&gt;"Vacant",C190&lt;&gt;"",C190&lt;&gt;"Manager"),IF(H190="","",IF(H190="Studio",RENT1,IF(H190=1,RENT2,IF(H190=2,RENT3,IF(H190=3,RENT5,IF(H190=4,RENT6,IF(H190=5,RENT7,RENT8))))))),"")</f>
        <v/>
      </c>
      <c r="O190" s="1504" t="str">
        <f t="shared" ref="O190:O221" si="80">IF(AND(C190&lt;&gt;"Vacant",C190&lt;&gt;"",C190&lt;&gt;"Manager"),(IF(N190&gt;=K190,"Yes",IF(N190&lt;K190,"No"))),"")</f>
        <v/>
      </c>
      <c r="P190" s="1504" t="str">
        <f t="shared" ref="P190:P221" si="81">IF(AND(C190&lt;&gt;"Vacant", C190&lt;&gt;"Manager",C190&lt;&gt;""),IF(H190="","",IF(H190="Studio",RENTA1,IF(H190=1,RENTA2,IF(H190=2,RENTA3,IF(H190=3,RENTA5,IF(H190=4,RENTA6,IF(H190=5,RENTA7,RENTA8))))))),"")</f>
        <v/>
      </c>
      <c r="Q190" s="1504" t="str">
        <f t="shared" ref="Q190:Q221" si="82">IF(AND(C190&lt;&gt;"Vacant",C190&lt;&gt;"",C190&lt;&gt;"Manager"),(IF(P190&gt;=K190,"Yes",IF(P190&lt;K190,"No"))),"")</f>
        <v/>
      </c>
      <c r="R190" s="1504" t="str">
        <f t="shared" ref="R190:R221" si="83">IF(AND(C190&lt;&gt;"Vacant",C190&lt;&gt;"Manager",C190&lt;&gt;""),IF(H190="","",IF(H190="Studio",$F$16,IF(H190=1,$G$16,IF(H190=2,$H$16,IF(H190=3,$J$16,IF(H190=4,$K$16,IF(H190=5,$L$16,$M$16))))))),"")</f>
        <v/>
      </c>
      <c r="S190" s="1504" t="str">
        <f t="shared" ref="S190:S221" si="84">IF(AND(C190&lt;&gt;"Vacant",C190&lt;&gt;"",C190&lt;&gt;"Manager"),(IF(R190&gt;=K190,"Yes",IF(R190&lt;K190,"No"))),"")</f>
        <v/>
      </c>
      <c r="T190" s="1504" t="str">
        <f t="shared" ref="T190:T221" si="85">IF(AND(C190&lt;&gt;"Vacant",C190&lt;&gt;"Manager",C190&lt;&gt;""),IF(C190="","",IF(H190="Studio",$F$17,IF(H190=1,$G$17,IF(H190=2,$H$17,IF(H190=3,$J$17,IF(H190=4,$K$17,IF(H190=5,$L$17,$M$17))))))),"")</f>
        <v/>
      </c>
      <c r="U190" s="1504" t="str">
        <f t="shared" ref="U190:U221" si="86">IF(AND(C190&lt;&gt;"Vacant",C190&lt;&gt;"",C190&lt;&gt;"Manager"),(IF(T190&gt;=K190,"Yes",IF(T190&lt;K190,"No"))),"")</f>
        <v/>
      </c>
      <c r="V190" s="1503" t="str">
        <f>IF(AND(C190&lt;&gt;"",C190&lt;&gt;"Vacant",C190&lt;&gt;"Manager"),'F-TIV'!O187,"")</f>
        <v/>
      </c>
      <c r="W190" s="1502" t="str">
        <f>IF(AND(C190&lt;&gt;"",C190&lt;&gt;"Vacant",C190&lt;&gt;"Manager"),'F-TIV'!P187,"")</f>
        <v/>
      </c>
      <c r="X190" s="1498" t="str">
        <f t="shared" ref="X190:X221" si="87">IFERROR(IF(AND(C190&lt;&gt;"",C190&lt;&gt;"Vacant",C190&lt;&gt;"Manager",Z190&gt;=0),K190*12/Z190,""),"0.0%")</f>
        <v/>
      </c>
      <c r="Y190" s="1501" t="str">
        <f>IF('F-TIV'!G187&lt;&gt;"",'F-TIV'!G187,"")</f>
        <v/>
      </c>
      <c r="Z190" s="1500" t="str">
        <f>IF(AND(C190&lt;&gt;"",C190&lt;&gt;"Vacant",C190&lt;&gt;"Manager"),'F-TIV'!L187,"")</f>
        <v/>
      </c>
      <c r="AA190" s="1499" t="str">
        <f t="shared" ref="AA190:AA221" si="88">IF(AND(C190&lt;&gt;"Vacant",C190&lt;&gt;"",C190&lt;&gt;"Manager"),IF(C190=0,"",IF(Y190=1,_PER1,IF(Y190=2,_PER2,IF(Y190=3,_PER3,IF(Y190=4,_PER4,IF(Y190=5,_PER5,IF(Y190=6,_PER6,IF(Y190=7,_PER7,_PER8)))))))),"")</f>
        <v/>
      </c>
      <c r="AB190" s="1498" t="str">
        <f t="shared" ref="AB190:AB221" si="89">IFERROR(IF(AND(C190&lt;&gt;"",C190&lt;&gt;"Vacant",C190&lt;&gt;"Manager"),ROUNDDOWN(Z190/AA190,2),""),"0.0%")</f>
        <v/>
      </c>
      <c r="AC190" s="1426"/>
      <c r="AD190" s="1426"/>
      <c r="AE190" s="1426"/>
      <c r="AG190" s="1497"/>
      <c r="AL190" s="1496"/>
      <c r="AN190" s="1496"/>
      <c r="AO190" s="1496"/>
      <c r="AP190" s="1496"/>
      <c r="AQ190" s="1496"/>
      <c r="AR190" s="1496"/>
    </row>
    <row r="191" spans="2:44" s="1442" customFormat="1" ht="11.25" customHeight="1">
      <c r="B191" s="1501" t="str">
        <f t="shared" si="75"/>
        <v>0</v>
      </c>
      <c r="C191" s="1506" t="str">
        <f>IF('F-TIV'!D188&lt;&gt;"",'F-TIV'!D188,"")</f>
        <v/>
      </c>
      <c r="D191" s="1501" t="str">
        <f>IF('F-TIV'!C188&lt;&gt;"",'F-TIV'!C188,"")</f>
        <v/>
      </c>
      <c r="E191" s="1502" t="str">
        <f>IF('F-TIV'!Q188&lt;&gt;"",'F-TIV'!Q188,"")</f>
        <v/>
      </c>
      <c r="F191" s="1502" t="str">
        <f>IF('F-TIV'!R188&lt;&gt;"",'F-TIV'!R188,"")</f>
        <v/>
      </c>
      <c r="G191" s="1505" t="str">
        <f>IF('F-TIV'!S188&lt;&gt;"",'F-TIV'!S188,"")</f>
        <v/>
      </c>
      <c r="H191" s="1501" t="str">
        <f>IF('F-TIV'!F188&lt;&gt;"",'F-TIV'!F188,"")</f>
        <v/>
      </c>
      <c r="I191" s="1500" t="str">
        <f>IF(AND(C191&lt;&gt;"",C191&lt;&gt;"Vacant",C191&lt;&gt;"Manager"),IF('F-TIV'!H188&lt;&gt;"",'F-TIV'!H188,""),"")</f>
        <v/>
      </c>
      <c r="J191" s="1500" t="str">
        <f>IF(AND(C191&lt;&gt;"",C191&lt;&gt;"Vacant",C191&lt;&gt;"Manager"),IF('F-TIV'!J188&lt;&gt;0,'F-TIV'!J188,"$0"),"")</f>
        <v/>
      </c>
      <c r="K191" s="1500" t="str">
        <f t="shared" si="76"/>
        <v/>
      </c>
      <c r="L191" s="1504" t="str">
        <f t="shared" si="77"/>
        <v/>
      </c>
      <c r="M191" s="1504" t="str">
        <f t="shared" si="78"/>
        <v/>
      </c>
      <c r="N191" s="1504" t="str">
        <f t="shared" si="79"/>
        <v/>
      </c>
      <c r="O191" s="1504" t="str">
        <f t="shared" si="80"/>
        <v/>
      </c>
      <c r="P191" s="1504" t="str">
        <f t="shared" si="81"/>
        <v/>
      </c>
      <c r="Q191" s="1504" t="str">
        <f t="shared" si="82"/>
        <v/>
      </c>
      <c r="R191" s="1504" t="str">
        <f t="shared" si="83"/>
        <v/>
      </c>
      <c r="S191" s="1504" t="str">
        <f t="shared" si="84"/>
        <v/>
      </c>
      <c r="T191" s="1504" t="str">
        <f t="shared" si="85"/>
        <v/>
      </c>
      <c r="U191" s="1504" t="str">
        <f t="shared" si="86"/>
        <v/>
      </c>
      <c r="V191" s="1503" t="str">
        <f>IF(AND(C191&lt;&gt;"",C191&lt;&gt;"Vacant",C191&lt;&gt;"Manager"),'F-TIV'!O188,"")</f>
        <v/>
      </c>
      <c r="W191" s="1502" t="str">
        <f>IF(AND(C191&lt;&gt;"",C191&lt;&gt;"Vacant",C191&lt;&gt;"Manager"),'F-TIV'!P188,"")</f>
        <v/>
      </c>
      <c r="X191" s="1498" t="str">
        <f t="shared" si="87"/>
        <v/>
      </c>
      <c r="Y191" s="1501" t="str">
        <f>IF('F-TIV'!G188&lt;&gt;"",'F-TIV'!G188,"")</f>
        <v/>
      </c>
      <c r="Z191" s="1500" t="str">
        <f>IF(AND(C191&lt;&gt;"",C191&lt;&gt;"Vacant",C191&lt;&gt;"Manager"),'F-TIV'!L188,"")</f>
        <v/>
      </c>
      <c r="AA191" s="1499" t="str">
        <f t="shared" si="88"/>
        <v/>
      </c>
      <c r="AB191" s="1498" t="str">
        <f t="shared" si="89"/>
        <v/>
      </c>
      <c r="AC191" s="1426"/>
      <c r="AD191" s="1426"/>
      <c r="AE191" s="1426"/>
      <c r="AG191" s="1497"/>
      <c r="AL191" s="1496"/>
      <c r="AN191" s="1496"/>
      <c r="AO191" s="1496"/>
      <c r="AP191" s="1496"/>
      <c r="AQ191" s="1496"/>
      <c r="AR191" s="1496"/>
    </row>
    <row r="192" spans="2:44" s="1442" customFormat="1" ht="11.25" customHeight="1">
      <c r="B192" s="1501" t="str">
        <f t="shared" si="75"/>
        <v>0</v>
      </c>
      <c r="C192" s="1506" t="str">
        <f>IF('F-TIV'!D189&lt;&gt;"",'F-TIV'!D189,"")</f>
        <v/>
      </c>
      <c r="D192" s="1501" t="str">
        <f>IF('F-TIV'!C189&lt;&gt;"",'F-TIV'!C189,"")</f>
        <v/>
      </c>
      <c r="E192" s="1502" t="str">
        <f>IF('F-TIV'!Q189&lt;&gt;"",'F-TIV'!Q189,"")</f>
        <v/>
      </c>
      <c r="F192" s="1502" t="str">
        <f>IF('F-TIV'!R189&lt;&gt;"",'F-TIV'!R189,"")</f>
        <v/>
      </c>
      <c r="G192" s="1505" t="str">
        <f>IF('F-TIV'!S189&lt;&gt;"",'F-TIV'!S189,"")</f>
        <v/>
      </c>
      <c r="H192" s="1501" t="str">
        <f>IF('F-TIV'!F189&lt;&gt;"",'F-TIV'!F189,"")</f>
        <v/>
      </c>
      <c r="I192" s="1500" t="str">
        <f>IF(AND(C192&lt;&gt;"",C192&lt;&gt;"Vacant",C192&lt;&gt;"Manager"),IF('F-TIV'!H189&lt;&gt;"",'F-TIV'!H189,""),"")</f>
        <v/>
      </c>
      <c r="J192" s="1500" t="str">
        <f>IF(AND(C192&lt;&gt;"",C192&lt;&gt;"Vacant",C192&lt;&gt;"Manager"),IF('F-TIV'!J189&lt;&gt;0,'F-TIV'!J189,"$0"),"")</f>
        <v/>
      </c>
      <c r="K192" s="1500" t="str">
        <f t="shared" si="76"/>
        <v/>
      </c>
      <c r="L192" s="1504" t="str">
        <f t="shared" si="77"/>
        <v/>
      </c>
      <c r="M192" s="1504" t="str">
        <f t="shared" si="78"/>
        <v/>
      </c>
      <c r="N192" s="1504" t="str">
        <f t="shared" si="79"/>
        <v/>
      </c>
      <c r="O192" s="1504" t="str">
        <f t="shared" si="80"/>
        <v/>
      </c>
      <c r="P192" s="1504" t="str">
        <f t="shared" si="81"/>
        <v/>
      </c>
      <c r="Q192" s="1504" t="str">
        <f t="shared" si="82"/>
        <v/>
      </c>
      <c r="R192" s="1504" t="str">
        <f t="shared" si="83"/>
        <v/>
      </c>
      <c r="S192" s="1504" t="str">
        <f t="shared" si="84"/>
        <v/>
      </c>
      <c r="T192" s="1504" t="str">
        <f t="shared" si="85"/>
        <v/>
      </c>
      <c r="U192" s="1504" t="str">
        <f t="shared" si="86"/>
        <v/>
      </c>
      <c r="V192" s="1503" t="str">
        <f>IF(AND(C192&lt;&gt;"",C192&lt;&gt;"Vacant",C192&lt;&gt;"Manager"),'F-TIV'!O189,"")</f>
        <v/>
      </c>
      <c r="W192" s="1502" t="str">
        <f>IF(AND(C192&lt;&gt;"",C192&lt;&gt;"Vacant",C192&lt;&gt;"Manager"),'F-TIV'!P189,"")</f>
        <v/>
      </c>
      <c r="X192" s="1498" t="str">
        <f t="shared" si="87"/>
        <v/>
      </c>
      <c r="Y192" s="1501" t="str">
        <f>IF('F-TIV'!G189&lt;&gt;"",'F-TIV'!G189,"")</f>
        <v/>
      </c>
      <c r="Z192" s="1500" t="str">
        <f>IF(AND(C192&lt;&gt;"",C192&lt;&gt;"Vacant",C192&lt;&gt;"Manager"),'F-TIV'!L189,"")</f>
        <v/>
      </c>
      <c r="AA192" s="1499" t="str">
        <f t="shared" si="88"/>
        <v/>
      </c>
      <c r="AB192" s="1498" t="str">
        <f t="shared" si="89"/>
        <v/>
      </c>
      <c r="AC192" s="1426"/>
      <c r="AD192" s="1426"/>
      <c r="AE192" s="1426"/>
      <c r="AG192" s="1497"/>
      <c r="AL192" s="1496"/>
      <c r="AN192" s="1496"/>
      <c r="AO192" s="1496"/>
      <c r="AP192" s="1496"/>
      <c r="AQ192" s="1496"/>
      <c r="AR192" s="1496"/>
    </row>
    <row r="193" spans="2:44" s="1442" customFormat="1" ht="11.25" customHeight="1">
      <c r="B193" s="1501" t="str">
        <f t="shared" si="75"/>
        <v>0</v>
      </c>
      <c r="C193" s="1506" t="str">
        <f>IF('F-TIV'!D190&lt;&gt;"",'F-TIV'!D190,"")</f>
        <v/>
      </c>
      <c r="D193" s="1501" t="str">
        <f>IF('F-TIV'!C190&lt;&gt;"",'F-TIV'!C190,"")</f>
        <v/>
      </c>
      <c r="E193" s="1502" t="str">
        <f>IF('F-TIV'!Q190&lt;&gt;"",'F-TIV'!Q190,"")</f>
        <v/>
      </c>
      <c r="F193" s="1502" t="str">
        <f>IF('F-TIV'!R190&lt;&gt;"",'F-TIV'!R190,"")</f>
        <v/>
      </c>
      <c r="G193" s="1505" t="str">
        <f>IF('F-TIV'!S190&lt;&gt;"",'F-TIV'!S190,"")</f>
        <v/>
      </c>
      <c r="H193" s="1501" t="str">
        <f>IF('F-TIV'!F190&lt;&gt;"",'F-TIV'!F190,"")</f>
        <v/>
      </c>
      <c r="I193" s="1500" t="str">
        <f>IF(AND(C193&lt;&gt;"",C193&lt;&gt;"Vacant",C193&lt;&gt;"Manager"),IF('F-TIV'!H190&lt;&gt;"",'F-TIV'!H190,""),"")</f>
        <v/>
      </c>
      <c r="J193" s="1500" t="str">
        <f>IF(AND(C193&lt;&gt;"",C193&lt;&gt;"Vacant",C193&lt;&gt;"Manager"),IF('F-TIV'!J190&lt;&gt;0,'F-TIV'!J190,"$0"),"")</f>
        <v/>
      </c>
      <c r="K193" s="1500" t="str">
        <f t="shared" si="76"/>
        <v/>
      </c>
      <c r="L193" s="1504" t="str">
        <f t="shared" si="77"/>
        <v/>
      </c>
      <c r="M193" s="1504" t="str">
        <f t="shared" si="78"/>
        <v/>
      </c>
      <c r="N193" s="1504" t="str">
        <f t="shared" si="79"/>
        <v/>
      </c>
      <c r="O193" s="1504" t="str">
        <f t="shared" si="80"/>
        <v/>
      </c>
      <c r="P193" s="1504" t="str">
        <f t="shared" si="81"/>
        <v/>
      </c>
      <c r="Q193" s="1504" t="str">
        <f t="shared" si="82"/>
        <v/>
      </c>
      <c r="R193" s="1504" t="str">
        <f t="shared" si="83"/>
        <v/>
      </c>
      <c r="S193" s="1504" t="str">
        <f t="shared" si="84"/>
        <v/>
      </c>
      <c r="T193" s="1504" t="str">
        <f t="shared" si="85"/>
        <v/>
      </c>
      <c r="U193" s="1504" t="str">
        <f t="shared" si="86"/>
        <v/>
      </c>
      <c r="V193" s="1503" t="str">
        <f>IF(AND(C193&lt;&gt;"",C193&lt;&gt;"Vacant",C193&lt;&gt;"Manager"),'F-TIV'!O190,"")</f>
        <v/>
      </c>
      <c r="W193" s="1502" t="str">
        <f>IF(AND(C193&lt;&gt;"",C193&lt;&gt;"Vacant",C193&lt;&gt;"Manager"),'F-TIV'!P190,"")</f>
        <v/>
      </c>
      <c r="X193" s="1498" t="str">
        <f t="shared" si="87"/>
        <v/>
      </c>
      <c r="Y193" s="1501" t="str">
        <f>IF('F-TIV'!G190&lt;&gt;"",'F-TIV'!G190,"")</f>
        <v/>
      </c>
      <c r="Z193" s="1500" t="str">
        <f>IF(AND(C193&lt;&gt;"",C193&lt;&gt;"Vacant",C193&lt;&gt;"Manager"),'F-TIV'!L190,"")</f>
        <v/>
      </c>
      <c r="AA193" s="1499" t="str">
        <f t="shared" si="88"/>
        <v/>
      </c>
      <c r="AB193" s="1498" t="str">
        <f t="shared" si="89"/>
        <v/>
      </c>
      <c r="AC193" s="1426"/>
      <c r="AD193" s="1426"/>
      <c r="AE193" s="1426"/>
      <c r="AG193" s="1497"/>
      <c r="AL193" s="1496"/>
      <c r="AN193" s="1496"/>
      <c r="AO193" s="1496"/>
      <c r="AP193" s="1496"/>
      <c r="AQ193" s="1496"/>
      <c r="AR193" s="1496"/>
    </row>
    <row r="194" spans="2:44" s="1442" customFormat="1" ht="11.25" customHeight="1">
      <c r="B194" s="1501" t="str">
        <f t="shared" si="75"/>
        <v>0</v>
      </c>
      <c r="C194" s="1506" t="str">
        <f>IF('F-TIV'!D191&lt;&gt;"",'F-TIV'!D191,"")</f>
        <v/>
      </c>
      <c r="D194" s="1501" t="str">
        <f>IF('F-TIV'!C191&lt;&gt;"",'F-TIV'!C191,"")</f>
        <v/>
      </c>
      <c r="E194" s="1502" t="str">
        <f>IF('F-TIV'!Q191&lt;&gt;"",'F-TIV'!Q191,"")</f>
        <v/>
      </c>
      <c r="F194" s="1502" t="str">
        <f>IF('F-TIV'!R191&lt;&gt;"",'F-TIV'!R191,"")</f>
        <v/>
      </c>
      <c r="G194" s="1505" t="str">
        <f>IF('F-TIV'!S191&lt;&gt;"",'F-TIV'!S191,"")</f>
        <v/>
      </c>
      <c r="H194" s="1501" t="str">
        <f>IF('F-TIV'!F191&lt;&gt;"",'F-TIV'!F191,"")</f>
        <v/>
      </c>
      <c r="I194" s="1500" t="str">
        <f>IF(AND(C194&lt;&gt;"",C194&lt;&gt;"Vacant",C194&lt;&gt;"Manager"),IF('F-TIV'!H191&lt;&gt;"",'F-TIV'!H191,""),"")</f>
        <v/>
      </c>
      <c r="J194" s="1500" t="str">
        <f>IF(AND(C194&lt;&gt;"",C194&lt;&gt;"Vacant",C194&lt;&gt;"Manager"),IF('F-TIV'!J191&lt;&gt;0,'F-TIV'!J191,"$0"),"")</f>
        <v/>
      </c>
      <c r="K194" s="1500" t="str">
        <f t="shared" si="76"/>
        <v/>
      </c>
      <c r="L194" s="1504" t="str">
        <f t="shared" si="77"/>
        <v/>
      </c>
      <c r="M194" s="1504" t="str">
        <f t="shared" si="78"/>
        <v/>
      </c>
      <c r="N194" s="1504" t="str">
        <f t="shared" si="79"/>
        <v/>
      </c>
      <c r="O194" s="1504" t="str">
        <f t="shared" si="80"/>
        <v/>
      </c>
      <c r="P194" s="1504" t="str">
        <f t="shared" si="81"/>
        <v/>
      </c>
      <c r="Q194" s="1504" t="str">
        <f t="shared" si="82"/>
        <v/>
      </c>
      <c r="R194" s="1504" t="str">
        <f t="shared" si="83"/>
        <v/>
      </c>
      <c r="S194" s="1504" t="str">
        <f t="shared" si="84"/>
        <v/>
      </c>
      <c r="T194" s="1504" t="str">
        <f t="shared" si="85"/>
        <v/>
      </c>
      <c r="U194" s="1504" t="str">
        <f t="shared" si="86"/>
        <v/>
      </c>
      <c r="V194" s="1503" t="str">
        <f>IF(AND(C194&lt;&gt;"",C194&lt;&gt;"Vacant",C194&lt;&gt;"Manager"),'F-TIV'!O191,"")</f>
        <v/>
      </c>
      <c r="W194" s="1502" t="str">
        <f>IF(AND(C194&lt;&gt;"",C194&lt;&gt;"Vacant",C194&lt;&gt;"Manager"),'F-TIV'!P191,"")</f>
        <v/>
      </c>
      <c r="X194" s="1498" t="str">
        <f t="shared" si="87"/>
        <v/>
      </c>
      <c r="Y194" s="1501" t="str">
        <f>IF('F-TIV'!G191&lt;&gt;"",'F-TIV'!G191,"")</f>
        <v/>
      </c>
      <c r="Z194" s="1500" t="str">
        <f>IF(AND(C194&lt;&gt;"",C194&lt;&gt;"Vacant",C194&lt;&gt;"Manager"),'F-TIV'!L191,"")</f>
        <v/>
      </c>
      <c r="AA194" s="1499" t="str">
        <f t="shared" si="88"/>
        <v/>
      </c>
      <c r="AB194" s="1498" t="str">
        <f t="shared" si="89"/>
        <v/>
      </c>
      <c r="AC194" s="1426"/>
      <c r="AD194" s="1426"/>
      <c r="AE194" s="1426"/>
      <c r="AG194" s="1497"/>
      <c r="AL194" s="1496"/>
      <c r="AN194" s="1496"/>
      <c r="AO194" s="1496"/>
      <c r="AP194" s="1496"/>
      <c r="AQ194" s="1496"/>
      <c r="AR194" s="1496"/>
    </row>
    <row r="195" spans="2:44" s="1442" customFormat="1" ht="11.25" customHeight="1">
      <c r="B195" s="1501" t="str">
        <f t="shared" si="75"/>
        <v>0</v>
      </c>
      <c r="C195" s="1506" t="str">
        <f>IF('F-TIV'!D192&lt;&gt;"",'F-TIV'!D192,"")</f>
        <v/>
      </c>
      <c r="D195" s="1501" t="str">
        <f>IF('F-TIV'!C192&lt;&gt;"",'F-TIV'!C192,"")</f>
        <v/>
      </c>
      <c r="E195" s="1502" t="str">
        <f>IF('F-TIV'!Q192&lt;&gt;"",'F-TIV'!Q192,"")</f>
        <v/>
      </c>
      <c r="F195" s="1502" t="str">
        <f>IF('F-TIV'!R192&lt;&gt;"",'F-TIV'!R192,"")</f>
        <v/>
      </c>
      <c r="G195" s="1505" t="str">
        <f>IF('F-TIV'!S192&lt;&gt;"",'F-TIV'!S192,"")</f>
        <v/>
      </c>
      <c r="H195" s="1501" t="str">
        <f>IF('F-TIV'!F192&lt;&gt;"",'F-TIV'!F192,"")</f>
        <v/>
      </c>
      <c r="I195" s="1500" t="str">
        <f>IF(AND(C195&lt;&gt;"",C195&lt;&gt;"Vacant",C195&lt;&gt;"Manager"),IF('F-TIV'!H192&lt;&gt;"",'F-TIV'!H192,""),"")</f>
        <v/>
      </c>
      <c r="J195" s="1500" t="str">
        <f>IF(AND(C195&lt;&gt;"",C195&lt;&gt;"Vacant",C195&lt;&gt;"Manager"),IF('F-TIV'!J192&lt;&gt;0,'F-TIV'!J192,"$0"),"")</f>
        <v/>
      </c>
      <c r="K195" s="1500" t="str">
        <f t="shared" si="76"/>
        <v/>
      </c>
      <c r="L195" s="1504" t="str">
        <f t="shared" si="77"/>
        <v/>
      </c>
      <c r="M195" s="1504" t="str">
        <f t="shared" si="78"/>
        <v/>
      </c>
      <c r="N195" s="1504" t="str">
        <f t="shared" si="79"/>
        <v/>
      </c>
      <c r="O195" s="1504" t="str">
        <f t="shared" si="80"/>
        <v/>
      </c>
      <c r="P195" s="1504" t="str">
        <f t="shared" si="81"/>
        <v/>
      </c>
      <c r="Q195" s="1504" t="str">
        <f t="shared" si="82"/>
        <v/>
      </c>
      <c r="R195" s="1504" t="str">
        <f t="shared" si="83"/>
        <v/>
      </c>
      <c r="S195" s="1504" t="str">
        <f t="shared" si="84"/>
        <v/>
      </c>
      <c r="T195" s="1504" t="str">
        <f t="shared" si="85"/>
        <v/>
      </c>
      <c r="U195" s="1504" t="str">
        <f t="shared" si="86"/>
        <v/>
      </c>
      <c r="V195" s="1503" t="str">
        <f>IF(AND(C195&lt;&gt;"",C195&lt;&gt;"Vacant",C195&lt;&gt;"Manager"),'F-TIV'!O192,"")</f>
        <v/>
      </c>
      <c r="W195" s="1502" t="str">
        <f>IF(AND(C195&lt;&gt;"",C195&lt;&gt;"Vacant",C195&lt;&gt;"Manager"),'F-TIV'!P192,"")</f>
        <v/>
      </c>
      <c r="X195" s="1498" t="str">
        <f t="shared" si="87"/>
        <v/>
      </c>
      <c r="Y195" s="1501" t="str">
        <f>IF('F-TIV'!G192&lt;&gt;"",'F-TIV'!G192,"")</f>
        <v/>
      </c>
      <c r="Z195" s="1500" t="str">
        <f>IF(AND(C195&lt;&gt;"",C195&lt;&gt;"Vacant",C195&lt;&gt;"Manager"),'F-TIV'!L192,"")</f>
        <v/>
      </c>
      <c r="AA195" s="1499" t="str">
        <f t="shared" si="88"/>
        <v/>
      </c>
      <c r="AB195" s="1498" t="str">
        <f t="shared" si="89"/>
        <v/>
      </c>
      <c r="AC195" s="1426"/>
      <c r="AD195" s="1426"/>
      <c r="AE195" s="1426"/>
      <c r="AG195" s="1497"/>
      <c r="AL195" s="1496"/>
      <c r="AN195" s="1496"/>
      <c r="AO195" s="1496"/>
      <c r="AP195" s="1496"/>
      <c r="AQ195" s="1496"/>
      <c r="AR195" s="1496"/>
    </row>
    <row r="196" spans="2:44" s="1442" customFormat="1" ht="11.25" customHeight="1">
      <c r="B196" s="1501" t="str">
        <f t="shared" si="75"/>
        <v>0</v>
      </c>
      <c r="C196" s="1506" t="str">
        <f>IF('F-TIV'!D193&lt;&gt;"",'F-TIV'!D193,"")</f>
        <v/>
      </c>
      <c r="D196" s="1501" t="str">
        <f>IF('F-TIV'!C193&lt;&gt;"",'F-TIV'!C193,"")</f>
        <v/>
      </c>
      <c r="E196" s="1502" t="str">
        <f>IF('F-TIV'!Q193&lt;&gt;"",'F-TIV'!Q193,"")</f>
        <v/>
      </c>
      <c r="F196" s="1502" t="str">
        <f>IF('F-TIV'!R193&lt;&gt;"",'F-TIV'!R193,"")</f>
        <v/>
      </c>
      <c r="G196" s="1505" t="str">
        <f>IF('F-TIV'!S193&lt;&gt;"",'F-TIV'!S193,"")</f>
        <v/>
      </c>
      <c r="H196" s="1501" t="str">
        <f>IF('F-TIV'!F193&lt;&gt;"",'F-TIV'!F193,"")</f>
        <v/>
      </c>
      <c r="I196" s="1500" t="str">
        <f>IF(AND(C196&lt;&gt;"",C196&lt;&gt;"Vacant",C196&lt;&gt;"Manager"),IF('F-TIV'!H193&lt;&gt;"",'F-TIV'!H193,""),"")</f>
        <v/>
      </c>
      <c r="J196" s="1500" t="str">
        <f>IF(AND(C196&lt;&gt;"",C196&lt;&gt;"Vacant",C196&lt;&gt;"Manager"),IF('F-TIV'!J193&lt;&gt;0,'F-TIV'!J193,"$0"),"")</f>
        <v/>
      </c>
      <c r="K196" s="1500" t="str">
        <f t="shared" si="76"/>
        <v/>
      </c>
      <c r="L196" s="1504" t="str">
        <f t="shared" si="77"/>
        <v/>
      </c>
      <c r="M196" s="1504" t="str">
        <f t="shared" si="78"/>
        <v/>
      </c>
      <c r="N196" s="1504" t="str">
        <f t="shared" si="79"/>
        <v/>
      </c>
      <c r="O196" s="1504" t="str">
        <f t="shared" si="80"/>
        <v/>
      </c>
      <c r="P196" s="1504" t="str">
        <f t="shared" si="81"/>
        <v/>
      </c>
      <c r="Q196" s="1504" t="str">
        <f t="shared" si="82"/>
        <v/>
      </c>
      <c r="R196" s="1504" t="str">
        <f t="shared" si="83"/>
        <v/>
      </c>
      <c r="S196" s="1504" t="str">
        <f t="shared" si="84"/>
        <v/>
      </c>
      <c r="T196" s="1504" t="str">
        <f t="shared" si="85"/>
        <v/>
      </c>
      <c r="U196" s="1504" t="str">
        <f t="shared" si="86"/>
        <v/>
      </c>
      <c r="V196" s="1503" t="str">
        <f>IF(AND(C196&lt;&gt;"",C196&lt;&gt;"Vacant",C196&lt;&gt;"Manager"),'F-TIV'!O193,"")</f>
        <v/>
      </c>
      <c r="W196" s="1502" t="str">
        <f>IF(AND(C196&lt;&gt;"",C196&lt;&gt;"Vacant",C196&lt;&gt;"Manager"),'F-TIV'!P193,"")</f>
        <v/>
      </c>
      <c r="X196" s="1498" t="str">
        <f t="shared" si="87"/>
        <v/>
      </c>
      <c r="Y196" s="1501" t="str">
        <f>IF('F-TIV'!G193&lt;&gt;"",'F-TIV'!G193,"")</f>
        <v/>
      </c>
      <c r="Z196" s="1500" t="str">
        <f>IF(AND(C196&lt;&gt;"",C196&lt;&gt;"Vacant",C196&lt;&gt;"Manager"),'F-TIV'!L193,"")</f>
        <v/>
      </c>
      <c r="AA196" s="1499" t="str">
        <f t="shared" si="88"/>
        <v/>
      </c>
      <c r="AB196" s="1498" t="str">
        <f t="shared" si="89"/>
        <v/>
      </c>
      <c r="AC196" s="1426"/>
      <c r="AD196" s="1426"/>
      <c r="AE196" s="1426"/>
      <c r="AG196" s="1497"/>
      <c r="AL196" s="1496"/>
      <c r="AN196" s="1496"/>
      <c r="AO196" s="1496"/>
      <c r="AP196" s="1496"/>
      <c r="AQ196" s="1496"/>
      <c r="AR196" s="1496"/>
    </row>
    <row r="197" spans="2:44" s="1442" customFormat="1" ht="11.25" customHeight="1">
      <c r="B197" s="1501" t="str">
        <f t="shared" si="75"/>
        <v>0</v>
      </c>
      <c r="C197" s="1506" t="str">
        <f>IF('F-TIV'!D194&lt;&gt;"",'F-TIV'!D194,"")</f>
        <v/>
      </c>
      <c r="D197" s="1501" t="str">
        <f>IF('F-TIV'!C194&lt;&gt;"",'F-TIV'!C194,"")</f>
        <v/>
      </c>
      <c r="E197" s="1502" t="str">
        <f>IF('F-TIV'!Q194&lt;&gt;"",'F-TIV'!Q194,"")</f>
        <v/>
      </c>
      <c r="F197" s="1502" t="str">
        <f>IF('F-TIV'!R194&lt;&gt;"",'F-TIV'!R194,"")</f>
        <v/>
      </c>
      <c r="G197" s="1505" t="str">
        <f>IF('F-TIV'!S194&lt;&gt;"",'F-TIV'!S194,"")</f>
        <v/>
      </c>
      <c r="H197" s="1501" t="str">
        <f>IF('F-TIV'!F194&lt;&gt;"",'F-TIV'!F194,"")</f>
        <v/>
      </c>
      <c r="I197" s="1500" t="str">
        <f>IF(AND(C197&lt;&gt;"",C197&lt;&gt;"Vacant",C197&lt;&gt;"Manager"),IF('F-TIV'!H194&lt;&gt;"",'F-TIV'!H194,""),"")</f>
        <v/>
      </c>
      <c r="J197" s="1500" t="str">
        <f>IF(AND(C197&lt;&gt;"",C197&lt;&gt;"Vacant",C197&lt;&gt;"Manager"),IF('F-TIV'!J194&lt;&gt;0,'F-TIV'!J194,"$0"),"")</f>
        <v/>
      </c>
      <c r="K197" s="1500" t="str">
        <f t="shared" si="76"/>
        <v/>
      </c>
      <c r="L197" s="1504" t="str">
        <f t="shared" si="77"/>
        <v/>
      </c>
      <c r="M197" s="1504" t="str">
        <f t="shared" si="78"/>
        <v/>
      </c>
      <c r="N197" s="1504" t="str">
        <f t="shared" si="79"/>
        <v/>
      </c>
      <c r="O197" s="1504" t="str">
        <f t="shared" si="80"/>
        <v/>
      </c>
      <c r="P197" s="1504" t="str">
        <f t="shared" si="81"/>
        <v/>
      </c>
      <c r="Q197" s="1504" t="str">
        <f t="shared" si="82"/>
        <v/>
      </c>
      <c r="R197" s="1504" t="str">
        <f t="shared" si="83"/>
        <v/>
      </c>
      <c r="S197" s="1504" t="str">
        <f t="shared" si="84"/>
        <v/>
      </c>
      <c r="T197" s="1504" t="str">
        <f t="shared" si="85"/>
        <v/>
      </c>
      <c r="U197" s="1504" t="str">
        <f t="shared" si="86"/>
        <v/>
      </c>
      <c r="V197" s="1503" t="str">
        <f>IF(AND(C197&lt;&gt;"",C197&lt;&gt;"Vacant",C197&lt;&gt;"Manager"),'F-TIV'!O194,"")</f>
        <v/>
      </c>
      <c r="W197" s="1502" t="str">
        <f>IF(AND(C197&lt;&gt;"",C197&lt;&gt;"Vacant",C197&lt;&gt;"Manager"),'F-TIV'!P194,"")</f>
        <v/>
      </c>
      <c r="X197" s="1498" t="str">
        <f t="shared" si="87"/>
        <v/>
      </c>
      <c r="Y197" s="1501" t="str">
        <f>IF('F-TIV'!G194&lt;&gt;"",'F-TIV'!G194,"")</f>
        <v/>
      </c>
      <c r="Z197" s="1500" t="str">
        <f>IF(AND(C197&lt;&gt;"",C197&lt;&gt;"Vacant",C197&lt;&gt;"Manager"),'F-TIV'!L194,"")</f>
        <v/>
      </c>
      <c r="AA197" s="1499" t="str">
        <f t="shared" si="88"/>
        <v/>
      </c>
      <c r="AB197" s="1498" t="str">
        <f t="shared" si="89"/>
        <v/>
      </c>
      <c r="AC197" s="1426"/>
      <c r="AD197" s="1426"/>
      <c r="AE197" s="1426"/>
      <c r="AG197" s="1497"/>
      <c r="AL197" s="1496"/>
      <c r="AN197" s="1496"/>
      <c r="AO197" s="1496"/>
      <c r="AP197" s="1496"/>
      <c r="AQ197" s="1496"/>
      <c r="AR197" s="1496"/>
    </row>
    <row r="198" spans="2:44" s="1442" customFormat="1" ht="11.25" customHeight="1">
      <c r="B198" s="1501" t="str">
        <f t="shared" si="75"/>
        <v>0</v>
      </c>
      <c r="C198" s="1506" t="str">
        <f>IF('F-TIV'!D195&lt;&gt;"",'F-TIV'!D195,"")</f>
        <v/>
      </c>
      <c r="D198" s="1501" t="str">
        <f>IF('F-TIV'!C195&lt;&gt;"",'F-TIV'!C195,"")</f>
        <v/>
      </c>
      <c r="E198" s="1502" t="str">
        <f>IF('F-TIV'!Q195&lt;&gt;"",'F-TIV'!Q195,"")</f>
        <v/>
      </c>
      <c r="F198" s="1502" t="str">
        <f>IF('F-TIV'!R195&lt;&gt;"",'F-TIV'!R195,"")</f>
        <v/>
      </c>
      <c r="G198" s="1505" t="str">
        <f>IF('F-TIV'!S195&lt;&gt;"",'F-TIV'!S195,"")</f>
        <v/>
      </c>
      <c r="H198" s="1501" t="str">
        <f>IF('F-TIV'!F195&lt;&gt;"",'F-TIV'!F195,"")</f>
        <v/>
      </c>
      <c r="I198" s="1500" t="str">
        <f>IF(AND(C198&lt;&gt;"",C198&lt;&gt;"Vacant",C198&lt;&gt;"Manager"),IF('F-TIV'!H195&lt;&gt;"",'F-TIV'!H195,""),"")</f>
        <v/>
      </c>
      <c r="J198" s="1500" t="str">
        <f>IF(AND(C198&lt;&gt;"",C198&lt;&gt;"Vacant",C198&lt;&gt;"Manager"),IF('F-TIV'!J195&lt;&gt;0,'F-TIV'!J195,"$0"),"")</f>
        <v/>
      </c>
      <c r="K198" s="1500" t="str">
        <f t="shared" si="76"/>
        <v/>
      </c>
      <c r="L198" s="1504" t="str">
        <f t="shared" si="77"/>
        <v/>
      </c>
      <c r="M198" s="1504" t="str">
        <f t="shared" si="78"/>
        <v/>
      </c>
      <c r="N198" s="1504" t="str">
        <f t="shared" si="79"/>
        <v/>
      </c>
      <c r="O198" s="1504" t="str">
        <f t="shared" si="80"/>
        <v/>
      </c>
      <c r="P198" s="1504" t="str">
        <f t="shared" si="81"/>
        <v/>
      </c>
      <c r="Q198" s="1504" t="str">
        <f t="shared" si="82"/>
        <v/>
      </c>
      <c r="R198" s="1504" t="str">
        <f t="shared" si="83"/>
        <v/>
      </c>
      <c r="S198" s="1504" t="str">
        <f t="shared" si="84"/>
        <v/>
      </c>
      <c r="T198" s="1504" t="str">
        <f t="shared" si="85"/>
        <v/>
      </c>
      <c r="U198" s="1504" t="str">
        <f t="shared" si="86"/>
        <v/>
      </c>
      <c r="V198" s="1503" t="str">
        <f>IF(AND(C198&lt;&gt;"",C198&lt;&gt;"Vacant",C198&lt;&gt;"Manager"),'F-TIV'!O195,"")</f>
        <v/>
      </c>
      <c r="W198" s="1502" t="str">
        <f>IF(AND(C198&lt;&gt;"",C198&lt;&gt;"Vacant",C198&lt;&gt;"Manager"),'F-TIV'!P195,"")</f>
        <v/>
      </c>
      <c r="X198" s="1498" t="str">
        <f t="shared" si="87"/>
        <v/>
      </c>
      <c r="Y198" s="1501" t="str">
        <f>IF('F-TIV'!G195&lt;&gt;"",'F-TIV'!G195,"")</f>
        <v/>
      </c>
      <c r="Z198" s="1500" t="str">
        <f>IF(AND(C198&lt;&gt;"",C198&lt;&gt;"Vacant",C198&lt;&gt;"Manager"),'F-TIV'!L195,"")</f>
        <v/>
      </c>
      <c r="AA198" s="1499" t="str">
        <f t="shared" si="88"/>
        <v/>
      </c>
      <c r="AB198" s="1498" t="str">
        <f t="shared" si="89"/>
        <v/>
      </c>
      <c r="AC198" s="1426"/>
      <c r="AD198" s="1426"/>
      <c r="AE198" s="1426"/>
      <c r="AG198" s="1497"/>
      <c r="AL198" s="1496"/>
      <c r="AN198" s="1496"/>
      <c r="AO198" s="1496"/>
      <c r="AP198" s="1496"/>
      <c r="AQ198" s="1496"/>
      <c r="AR198" s="1496"/>
    </row>
    <row r="199" spans="2:44" s="1442" customFormat="1" ht="11.25" customHeight="1">
      <c r="B199" s="1501" t="str">
        <f t="shared" si="75"/>
        <v>0</v>
      </c>
      <c r="C199" s="1506" t="str">
        <f>IF('F-TIV'!D196&lt;&gt;"",'F-TIV'!D196,"")</f>
        <v/>
      </c>
      <c r="D199" s="1501" t="str">
        <f>IF('F-TIV'!C196&lt;&gt;"",'F-TIV'!C196,"")</f>
        <v/>
      </c>
      <c r="E199" s="1502" t="str">
        <f>IF('F-TIV'!Q196&lt;&gt;"",'F-TIV'!Q196,"")</f>
        <v/>
      </c>
      <c r="F199" s="1502" t="str">
        <f>IF('F-TIV'!R196&lt;&gt;"",'F-TIV'!R196,"")</f>
        <v/>
      </c>
      <c r="G199" s="1505" t="str">
        <f>IF('F-TIV'!S196&lt;&gt;"",'F-TIV'!S196,"")</f>
        <v/>
      </c>
      <c r="H199" s="1501" t="str">
        <f>IF('F-TIV'!F196&lt;&gt;"",'F-TIV'!F196,"")</f>
        <v/>
      </c>
      <c r="I199" s="1500" t="str">
        <f>IF(AND(C199&lt;&gt;"",C199&lt;&gt;"Vacant",C199&lt;&gt;"Manager"),IF('F-TIV'!H196&lt;&gt;"",'F-TIV'!H196,""),"")</f>
        <v/>
      </c>
      <c r="J199" s="1500" t="str">
        <f>IF(AND(C199&lt;&gt;"",C199&lt;&gt;"Vacant",C199&lt;&gt;"Manager"),IF('F-TIV'!J196&lt;&gt;0,'F-TIV'!J196,"$0"),"")</f>
        <v/>
      </c>
      <c r="K199" s="1500" t="str">
        <f t="shared" si="76"/>
        <v/>
      </c>
      <c r="L199" s="1504" t="str">
        <f t="shared" si="77"/>
        <v/>
      </c>
      <c r="M199" s="1504" t="str">
        <f t="shared" si="78"/>
        <v/>
      </c>
      <c r="N199" s="1504" t="str">
        <f t="shared" si="79"/>
        <v/>
      </c>
      <c r="O199" s="1504" t="str">
        <f t="shared" si="80"/>
        <v/>
      </c>
      <c r="P199" s="1504" t="str">
        <f t="shared" si="81"/>
        <v/>
      </c>
      <c r="Q199" s="1504" t="str">
        <f t="shared" si="82"/>
        <v/>
      </c>
      <c r="R199" s="1504" t="str">
        <f t="shared" si="83"/>
        <v/>
      </c>
      <c r="S199" s="1504" t="str">
        <f t="shared" si="84"/>
        <v/>
      </c>
      <c r="T199" s="1504" t="str">
        <f t="shared" si="85"/>
        <v/>
      </c>
      <c r="U199" s="1504" t="str">
        <f t="shared" si="86"/>
        <v/>
      </c>
      <c r="V199" s="1503" t="str">
        <f>IF(AND(C199&lt;&gt;"",C199&lt;&gt;"Vacant",C199&lt;&gt;"Manager"),'F-TIV'!O196,"")</f>
        <v/>
      </c>
      <c r="W199" s="1502" t="str">
        <f>IF(AND(C199&lt;&gt;"",C199&lt;&gt;"Vacant",C199&lt;&gt;"Manager"),'F-TIV'!P196,"")</f>
        <v/>
      </c>
      <c r="X199" s="1498" t="str">
        <f t="shared" si="87"/>
        <v/>
      </c>
      <c r="Y199" s="1501" t="str">
        <f>IF('F-TIV'!G196&lt;&gt;"",'F-TIV'!G196,"")</f>
        <v/>
      </c>
      <c r="Z199" s="1500" t="str">
        <f>IF(AND(C199&lt;&gt;"",C199&lt;&gt;"Vacant",C199&lt;&gt;"Manager"),'F-TIV'!L196,"")</f>
        <v/>
      </c>
      <c r="AA199" s="1499" t="str">
        <f t="shared" si="88"/>
        <v/>
      </c>
      <c r="AB199" s="1498" t="str">
        <f t="shared" si="89"/>
        <v/>
      </c>
      <c r="AC199" s="1426"/>
      <c r="AD199" s="1426"/>
      <c r="AE199" s="1426"/>
      <c r="AG199" s="1497"/>
      <c r="AL199" s="1496"/>
      <c r="AN199" s="1496"/>
      <c r="AO199" s="1496"/>
      <c r="AP199" s="1496"/>
      <c r="AQ199" s="1496"/>
      <c r="AR199" s="1496"/>
    </row>
    <row r="200" spans="2:44" s="1442" customFormat="1" ht="11.25" customHeight="1">
      <c r="B200" s="1501" t="str">
        <f t="shared" si="75"/>
        <v>0</v>
      </c>
      <c r="C200" s="1506" t="str">
        <f>IF('F-TIV'!D197&lt;&gt;"",'F-TIV'!D197,"")</f>
        <v/>
      </c>
      <c r="D200" s="1501" t="str">
        <f>IF('F-TIV'!C197&lt;&gt;"",'F-TIV'!C197,"")</f>
        <v/>
      </c>
      <c r="E200" s="1502" t="str">
        <f>IF('F-TIV'!Q197&lt;&gt;"",'F-TIV'!Q197,"")</f>
        <v/>
      </c>
      <c r="F200" s="1502" t="str">
        <f>IF('F-TIV'!R197&lt;&gt;"",'F-TIV'!R197,"")</f>
        <v/>
      </c>
      <c r="G200" s="1505" t="str">
        <f>IF('F-TIV'!S197&lt;&gt;"",'F-TIV'!S197,"")</f>
        <v/>
      </c>
      <c r="H200" s="1501" t="str">
        <f>IF('F-TIV'!F197&lt;&gt;"",'F-TIV'!F197,"")</f>
        <v/>
      </c>
      <c r="I200" s="1500" t="str">
        <f>IF(AND(C200&lt;&gt;"",C200&lt;&gt;"Vacant",C200&lt;&gt;"Manager"),IF('F-TIV'!H197&lt;&gt;"",'F-TIV'!H197,""),"")</f>
        <v/>
      </c>
      <c r="J200" s="1500" t="str">
        <f>IF(AND(C200&lt;&gt;"",C200&lt;&gt;"Vacant",C200&lt;&gt;"Manager"),IF('F-TIV'!J197&lt;&gt;0,'F-TIV'!J197,"$0"),"")</f>
        <v/>
      </c>
      <c r="K200" s="1500" t="str">
        <f t="shared" si="76"/>
        <v/>
      </c>
      <c r="L200" s="1504" t="str">
        <f t="shared" si="77"/>
        <v/>
      </c>
      <c r="M200" s="1504" t="str">
        <f t="shared" si="78"/>
        <v/>
      </c>
      <c r="N200" s="1504" t="str">
        <f t="shared" si="79"/>
        <v/>
      </c>
      <c r="O200" s="1504" t="str">
        <f t="shared" si="80"/>
        <v/>
      </c>
      <c r="P200" s="1504" t="str">
        <f t="shared" si="81"/>
        <v/>
      </c>
      <c r="Q200" s="1504" t="str">
        <f t="shared" si="82"/>
        <v/>
      </c>
      <c r="R200" s="1504" t="str">
        <f t="shared" si="83"/>
        <v/>
      </c>
      <c r="S200" s="1504" t="str">
        <f t="shared" si="84"/>
        <v/>
      </c>
      <c r="T200" s="1504" t="str">
        <f t="shared" si="85"/>
        <v/>
      </c>
      <c r="U200" s="1504" t="str">
        <f t="shared" si="86"/>
        <v/>
      </c>
      <c r="V200" s="1503" t="str">
        <f>IF(AND(C200&lt;&gt;"",C200&lt;&gt;"Vacant",C200&lt;&gt;"Manager"),'F-TIV'!O197,"")</f>
        <v/>
      </c>
      <c r="W200" s="1502" t="str">
        <f>IF(AND(C200&lt;&gt;"",C200&lt;&gt;"Vacant",C200&lt;&gt;"Manager"),'F-TIV'!P197,"")</f>
        <v/>
      </c>
      <c r="X200" s="1498" t="str">
        <f t="shared" si="87"/>
        <v/>
      </c>
      <c r="Y200" s="1501" t="str">
        <f>IF('F-TIV'!G197&lt;&gt;"",'F-TIV'!G197,"")</f>
        <v/>
      </c>
      <c r="Z200" s="1500" t="str">
        <f>IF(AND(C200&lt;&gt;"",C200&lt;&gt;"Vacant",C200&lt;&gt;"Manager"),'F-TIV'!L197,"")</f>
        <v/>
      </c>
      <c r="AA200" s="1499" t="str">
        <f t="shared" si="88"/>
        <v/>
      </c>
      <c r="AB200" s="1498" t="str">
        <f t="shared" si="89"/>
        <v/>
      </c>
      <c r="AC200" s="1426"/>
      <c r="AD200" s="1426"/>
      <c r="AE200" s="1426"/>
      <c r="AG200" s="1497"/>
      <c r="AL200" s="1496"/>
      <c r="AN200" s="1496"/>
      <c r="AO200" s="1496"/>
      <c r="AP200" s="1496"/>
      <c r="AQ200" s="1496"/>
      <c r="AR200" s="1496"/>
    </row>
    <row r="201" spans="2:44" s="1442" customFormat="1" ht="11.25" customHeight="1">
      <c r="B201" s="1501" t="str">
        <f t="shared" si="75"/>
        <v>0</v>
      </c>
      <c r="C201" s="1506" t="str">
        <f>IF('F-TIV'!D198&lt;&gt;"",'F-TIV'!D198,"")</f>
        <v/>
      </c>
      <c r="D201" s="1501" t="str">
        <f>IF('F-TIV'!C198&lt;&gt;"",'F-TIV'!C198,"")</f>
        <v/>
      </c>
      <c r="E201" s="1502" t="str">
        <f>IF('F-TIV'!Q198&lt;&gt;"",'F-TIV'!Q198,"")</f>
        <v/>
      </c>
      <c r="F201" s="1502" t="str">
        <f>IF('F-TIV'!R198&lt;&gt;"",'F-TIV'!R198,"")</f>
        <v/>
      </c>
      <c r="G201" s="1505" t="str">
        <f>IF('F-TIV'!S198&lt;&gt;"",'F-TIV'!S198,"")</f>
        <v/>
      </c>
      <c r="H201" s="1501" t="str">
        <f>IF('F-TIV'!F198&lt;&gt;"",'F-TIV'!F198,"")</f>
        <v/>
      </c>
      <c r="I201" s="1500" t="str">
        <f>IF(AND(C201&lt;&gt;"",C201&lt;&gt;"Vacant",C201&lt;&gt;"Manager"),IF('F-TIV'!H198&lt;&gt;"",'F-TIV'!H198,""),"")</f>
        <v/>
      </c>
      <c r="J201" s="1500" t="str">
        <f>IF(AND(C201&lt;&gt;"",C201&lt;&gt;"Vacant",C201&lt;&gt;"Manager"),IF('F-TIV'!J198&lt;&gt;0,'F-TIV'!J198,"$0"),"")</f>
        <v/>
      </c>
      <c r="K201" s="1500" t="str">
        <f t="shared" si="76"/>
        <v/>
      </c>
      <c r="L201" s="1504" t="str">
        <f t="shared" si="77"/>
        <v/>
      </c>
      <c r="M201" s="1504" t="str">
        <f t="shared" si="78"/>
        <v/>
      </c>
      <c r="N201" s="1504" t="str">
        <f t="shared" si="79"/>
        <v/>
      </c>
      <c r="O201" s="1504" t="str">
        <f t="shared" si="80"/>
        <v/>
      </c>
      <c r="P201" s="1504" t="str">
        <f t="shared" si="81"/>
        <v/>
      </c>
      <c r="Q201" s="1504" t="str">
        <f t="shared" si="82"/>
        <v/>
      </c>
      <c r="R201" s="1504" t="str">
        <f t="shared" si="83"/>
        <v/>
      </c>
      <c r="S201" s="1504" t="str">
        <f t="shared" si="84"/>
        <v/>
      </c>
      <c r="T201" s="1504" t="str">
        <f t="shared" si="85"/>
        <v/>
      </c>
      <c r="U201" s="1504" t="str">
        <f t="shared" si="86"/>
        <v/>
      </c>
      <c r="V201" s="1503" t="str">
        <f>IF(AND(C201&lt;&gt;"",C201&lt;&gt;"Vacant",C201&lt;&gt;"Manager"),'F-TIV'!O198,"")</f>
        <v/>
      </c>
      <c r="W201" s="1502" t="str">
        <f>IF(AND(C201&lt;&gt;"",C201&lt;&gt;"Vacant",C201&lt;&gt;"Manager"),'F-TIV'!P198,"")</f>
        <v/>
      </c>
      <c r="X201" s="1498" t="str">
        <f t="shared" si="87"/>
        <v/>
      </c>
      <c r="Y201" s="1501" t="str">
        <f>IF('F-TIV'!G198&lt;&gt;"",'F-TIV'!G198,"")</f>
        <v/>
      </c>
      <c r="Z201" s="1500" t="str">
        <f>IF(AND(C201&lt;&gt;"",C201&lt;&gt;"Vacant",C201&lt;&gt;"Manager"),'F-TIV'!L198,"")</f>
        <v/>
      </c>
      <c r="AA201" s="1499" t="str">
        <f t="shared" si="88"/>
        <v/>
      </c>
      <c r="AB201" s="1498" t="str">
        <f t="shared" si="89"/>
        <v/>
      </c>
      <c r="AC201" s="1426"/>
      <c r="AD201" s="1426"/>
      <c r="AE201" s="1426"/>
      <c r="AG201" s="1497"/>
      <c r="AL201" s="1496"/>
      <c r="AN201" s="1496"/>
      <c r="AO201" s="1496"/>
      <c r="AP201" s="1496"/>
      <c r="AQ201" s="1496"/>
      <c r="AR201" s="1496"/>
    </row>
    <row r="202" spans="2:44" s="1442" customFormat="1" ht="11.25" customHeight="1">
      <c r="B202" s="1501" t="str">
        <f t="shared" si="75"/>
        <v>0</v>
      </c>
      <c r="C202" s="1506" t="str">
        <f>IF('F-TIV'!D199&lt;&gt;"",'F-TIV'!D199,"")</f>
        <v/>
      </c>
      <c r="D202" s="1501" t="str">
        <f>IF('F-TIV'!C199&lt;&gt;"",'F-TIV'!C199,"")</f>
        <v/>
      </c>
      <c r="E202" s="1502" t="str">
        <f>IF('F-TIV'!Q199&lt;&gt;"",'F-TIV'!Q199,"")</f>
        <v/>
      </c>
      <c r="F202" s="1502" t="str">
        <f>IF('F-TIV'!R199&lt;&gt;"",'F-TIV'!R199,"")</f>
        <v/>
      </c>
      <c r="G202" s="1505" t="str">
        <f>IF('F-TIV'!S199&lt;&gt;"",'F-TIV'!S199,"")</f>
        <v/>
      </c>
      <c r="H202" s="1501" t="str">
        <f>IF('F-TIV'!F199&lt;&gt;"",'F-TIV'!F199,"")</f>
        <v/>
      </c>
      <c r="I202" s="1500" t="str">
        <f>IF(AND(C202&lt;&gt;"",C202&lt;&gt;"Vacant",C202&lt;&gt;"Manager"),IF('F-TIV'!H199&lt;&gt;"",'F-TIV'!H199,""),"")</f>
        <v/>
      </c>
      <c r="J202" s="1500" t="str">
        <f>IF(AND(C202&lt;&gt;"",C202&lt;&gt;"Vacant",C202&lt;&gt;"Manager"),IF('F-TIV'!J199&lt;&gt;0,'F-TIV'!J199,"$0"),"")</f>
        <v/>
      </c>
      <c r="K202" s="1500" t="str">
        <f t="shared" si="76"/>
        <v/>
      </c>
      <c r="L202" s="1504" t="str">
        <f t="shared" si="77"/>
        <v/>
      </c>
      <c r="M202" s="1504" t="str">
        <f t="shared" si="78"/>
        <v/>
      </c>
      <c r="N202" s="1504" t="str">
        <f t="shared" si="79"/>
        <v/>
      </c>
      <c r="O202" s="1504" t="str">
        <f t="shared" si="80"/>
        <v/>
      </c>
      <c r="P202" s="1504" t="str">
        <f t="shared" si="81"/>
        <v/>
      </c>
      <c r="Q202" s="1504" t="str">
        <f t="shared" si="82"/>
        <v/>
      </c>
      <c r="R202" s="1504" t="str">
        <f t="shared" si="83"/>
        <v/>
      </c>
      <c r="S202" s="1504" t="str">
        <f t="shared" si="84"/>
        <v/>
      </c>
      <c r="T202" s="1504" t="str">
        <f t="shared" si="85"/>
        <v/>
      </c>
      <c r="U202" s="1504" t="str">
        <f t="shared" si="86"/>
        <v/>
      </c>
      <c r="V202" s="1503" t="str">
        <f>IF(AND(C202&lt;&gt;"",C202&lt;&gt;"Vacant",C202&lt;&gt;"Manager"),'F-TIV'!O199,"")</f>
        <v/>
      </c>
      <c r="W202" s="1502" t="str">
        <f>IF(AND(C202&lt;&gt;"",C202&lt;&gt;"Vacant",C202&lt;&gt;"Manager"),'F-TIV'!P199,"")</f>
        <v/>
      </c>
      <c r="X202" s="1498" t="str">
        <f t="shared" si="87"/>
        <v/>
      </c>
      <c r="Y202" s="1501" t="str">
        <f>IF('F-TIV'!G199&lt;&gt;"",'F-TIV'!G199,"")</f>
        <v/>
      </c>
      <c r="Z202" s="1500" t="str">
        <f>IF(AND(C202&lt;&gt;"",C202&lt;&gt;"Vacant",C202&lt;&gt;"Manager"),'F-TIV'!L199,"")</f>
        <v/>
      </c>
      <c r="AA202" s="1499" t="str">
        <f t="shared" si="88"/>
        <v/>
      </c>
      <c r="AB202" s="1498" t="str">
        <f t="shared" si="89"/>
        <v/>
      </c>
      <c r="AC202" s="1426"/>
      <c r="AD202" s="1426"/>
      <c r="AE202" s="1426"/>
      <c r="AG202" s="1497"/>
      <c r="AL202" s="1496"/>
      <c r="AN202" s="1496"/>
      <c r="AO202" s="1496"/>
      <c r="AP202" s="1496"/>
      <c r="AQ202" s="1496"/>
      <c r="AR202" s="1496"/>
    </row>
    <row r="203" spans="2:44" s="1442" customFormat="1" ht="11.25" customHeight="1">
      <c r="B203" s="1501" t="str">
        <f t="shared" si="75"/>
        <v>0</v>
      </c>
      <c r="C203" s="1506" t="str">
        <f>IF('F-TIV'!D200&lt;&gt;"",'F-TIV'!D200,"")</f>
        <v/>
      </c>
      <c r="D203" s="1501" t="str">
        <f>IF('F-TIV'!C200&lt;&gt;"",'F-TIV'!C200,"")</f>
        <v/>
      </c>
      <c r="E203" s="1502" t="str">
        <f>IF('F-TIV'!Q200&lt;&gt;"",'F-TIV'!Q200,"")</f>
        <v/>
      </c>
      <c r="F203" s="1502" t="str">
        <f>IF('F-TIV'!R200&lt;&gt;"",'F-TIV'!R200,"")</f>
        <v/>
      </c>
      <c r="G203" s="1505" t="str">
        <f>IF('F-TIV'!S200&lt;&gt;"",'F-TIV'!S200,"")</f>
        <v/>
      </c>
      <c r="H203" s="1501" t="str">
        <f>IF('F-TIV'!F200&lt;&gt;"",'F-TIV'!F200,"")</f>
        <v/>
      </c>
      <c r="I203" s="1500" t="str">
        <f>IF(AND(C203&lt;&gt;"",C203&lt;&gt;"Vacant",C203&lt;&gt;"Manager"),IF('F-TIV'!H200&lt;&gt;"",'F-TIV'!H200,""),"")</f>
        <v/>
      </c>
      <c r="J203" s="1500" t="str">
        <f>IF(AND(C203&lt;&gt;"",C203&lt;&gt;"Vacant",C203&lt;&gt;"Manager"),IF('F-TIV'!J200&lt;&gt;0,'F-TIV'!J200,"$0"),"")</f>
        <v/>
      </c>
      <c r="K203" s="1500" t="str">
        <f t="shared" si="76"/>
        <v/>
      </c>
      <c r="L203" s="1504" t="str">
        <f t="shared" si="77"/>
        <v/>
      </c>
      <c r="M203" s="1504" t="str">
        <f t="shared" si="78"/>
        <v/>
      </c>
      <c r="N203" s="1504" t="str">
        <f t="shared" si="79"/>
        <v/>
      </c>
      <c r="O203" s="1504" t="str">
        <f t="shared" si="80"/>
        <v/>
      </c>
      <c r="P203" s="1504" t="str">
        <f t="shared" si="81"/>
        <v/>
      </c>
      <c r="Q203" s="1504" t="str">
        <f t="shared" si="82"/>
        <v/>
      </c>
      <c r="R203" s="1504" t="str">
        <f t="shared" si="83"/>
        <v/>
      </c>
      <c r="S203" s="1504" t="str">
        <f t="shared" si="84"/>
        <v/>
      </c>
      <c r="T203" s="1504" t="str">
        <f t="shared" si="85"/>
        <v/>
      </c>
      <c r="U203" s="1504" t="str">
        <f t="shared" si="86"/>
        <v/>
      </c>
      <c r="V203" s="1503" t="str">
        <f>IF(AND(C203&lt;&gt;"",C203&lt;&gt;"Vacant",C203&lt;&gt;"Manager"),'F-TIV'!O200,"")</f>
        <v/>
      </c>
      <c r="W203" s="1502" t="str">
        <f>IF(AND(C203&lt;&gt;"",C203&lt;&gt;"Vacant",C203&lt;&gt;"Manager"),'F-TIV'!P200,"")</f>
        <v/>
      </c>
      <c r="X203" s="1498" t="str">
        <f t="shared" si="87"/>
        <v/>
      </c>
      <c r="Y203" s="1501" t="str">
        <f>IF('F-TIV'!G200&lt;&gt;"",'F-TIV'!G200,"")</f>
        <v/>
      </c>
      <c r="Z203" s="1500" t="str">
        <f>IF(AND(C203&lt;&gt;"",C203&lt;&gt;"Vacant",C203&lt;&gt;"Manager"),'F-TIV'!L200,"")</f>
        <v/>
      </c>
      <c r="AA203" s="1499" t="str">
        <f t="shared" si="88"/>
        <v/>
      </c>
      <c r="AB203" s="1498" t="str">
        <f t="shared" si="89"/>
        <v/>
      </c>
      <c r="AC203" s="1426"/>
      <c r="AD203" s="1426"/>
      <c r="AE203" s="1426"/>
      <c r="AG203" s="1497"/>
      <c r="AL203" s="1496"/>
      <c r="AN203" s="1496"/>
      <c r="AO203" s="1496"/>
      <c r="AP203" s="1496"/>
      <c r="AQ203" s="1496"/>
      <c r="AR203" s="1496"/>
    </row>
    <row r="204" spans="2:44" s="1442" customFormat="1" ht="11.25" customHeight="1">
      <c r="B204" s="1501" t="str">
        <f t="shared" si="75"/>
        <v>0</v>
      </c>
      <c r="C204" s="1506" t="str">
        <f>IF('F-TIV'!D201&lt;&gt;"",'F-TIV'!D201,"")</f>
        <v/>
      </c>
      <c r="D204" s="1501" t="str">
        <f>IF('F-TIV'!C201&lt;&gt;"",'F-TIV'!C201,"")</f>
        <v/>
      </c>
      <c r="E204" s="1502" t="str">
        <f>IF('F-TIV'!Q201&lt;&gt;"",'F-TIV'!Q201,"")</f>
        <v/>
      </c>
      <c r="F204" s="1502" t="str">
        <f>IF('F-TIV'!R201&lt;&gt;"",'F-TIV'!R201,"")</f>
        <v/>
      </c>
      <c r="G204" s="1505" t="str">
        <f>IF('F-TIV'!S201&lt;&gt;"",'F-TIV'!S201,"")</f>
        <v/>
      </c>
      <c r="H204" s="1501" t="str">
        <f>IF('F-TIV'!F201&lt;&gt;"",'F-TIV'!F201,"")</f>
        <v/>
      </c>
      <c r="I204" s="1500" t="str">
        <f>IF(AND(C204&lt;&gt;"",C204&lt;&gt;"Vacant",C204&lt;&gt;"Manager"),IF('F-TIV'!H201&lt;&gt;"",'F-TIV'!H201,""),"")</f>
        <v/>
      </c>
      <c r="J204" s="1500" t="str">
        <f>IF(AND(C204&lt;&gt;"",C204&lt;&gt;"Vacant",C204&lt;&gt;"Manager"),IF('F-TIV'!J201&lt;&gt;0,'F-TIV'!J201,"$0"),"")</f>
        <v/>
      </c>
      <c r="K204" s="1500" t="str">
        <f t="shared" si="76"/>
        <v/>
      </c>
      <c r="L204" s="1504" t="str">
        <f t="shared" si="77"/>
        <v/>
      </c>
      <c r="M204" s="1504" t="str">
        <f t="shared" si="78"/>
        <v/>
      </c>
      <c r="N204" s="1504" t="str">
        <f t="shared" si="79"/>
        <v/>
      </c>
      <c r="O204" s="1504" t="str">
        <f t="shared" si="80"/>
        <v/>
      </c>
      <c r="P204" s="1504" t="str">
        <f t="shared" si="81"/>
        <v/>
      </c>
      <c r="Q204" s="1504" t="str">
        <f t="shared" si="82"/>
        <v/>
      </c>
      <c r="R204" s="1504" t="str">
        <f t="shared" si="83"/>
        <v/>
      </c>
      <c r="S204" s="1504" t="str">
        <f t="shared" si="84"/>
        <v/>
      </c>
      <c r="T204" s="1504" t="str">
        <f t="shared" si="85"/>
        <v/>
      </c>
      <c r="U204" s="1504" t="str">
        <f t="shared" si="86"/>
        <v/>
      </c>
      <c r="V204" s="1503" t="str">
        <f>IF(AND(C204&lt;&gt;"",C204&lt;&gt;"Vacant",C204&lt;&gt;"Manager"),'F-TIV'!O201,"")</f>
        <v/>
      </c>
      <c r="W204" s="1502" t="str">
        <f>IF(AND(C204&lt;&gt;"",C204&lt;&gt;"Vacant",C204&lt;&gt;"Manager"),'F-TIV'!P201,"")</f>
        <v/>
      </c>
      <c r="X204" s="1498" t="str">
        <f t="shared" si="87"/>
        <v/>
      </c>
      <c r="Y204" s="1501" t="str">
        <f>IF('F-TIV'!G201&lt;&gt;"",'F-TIV'!G201,"")</f>
        <v/>
      </c>
      <c r="Z204" s="1500" t="str">
        <f>IF(AND(C204&lt;&gt;"",C204&lt;&gt;"Vacant",C204&lt;&gt;"Manager"),'F-TIV'!L201,"")</f>
        <v/>
      </c>
      <c r="AA204" s="1499" t="str">
        <f t="shared" si="88"/>
        <v/>
      </c>
      <c r="AB204" s="1498" t="str">
        <f t="shared" si="89"/>
        <v/>
      </c>
      <c r="AC204" s="1426"/>
      <c r="AD204" s="1426"/>
      <c r="AE204" s="1426"/>
      <c r="AG204" s="1497"/>
      <c r="AL204" s="1496"/>
      <c r="AN204" s="1496"/>
      <c r="AO204" s="1496"/>
      <c r="AP204" s="1496"/>
      <c r="AQ204" s="1496"/>
      <c r="AR204" s="1496"/>
    </row>
    <row r="205" spans="2:44" s="1442" customFormat="1" ht="11.25" customHeight="1">
      <c r="B205" s="1501" t="str">
        <f t="shared" si="75"/>
        <v>0</v>
      </c>
      <c r="C205" s="1506" t="str">
        <f>IF('F-TIV'!D202&lt;&gt;"",'F-TIV'!D202,"")</f>
        <v/>
      </c>
      <c r="D205" s="1501" t="str">
        <f>IF('F-TIV'!C202&lt;&gt;"",'F-TIV'!C202,"")</f>
        <v/>
      </c>
      <c r="E205" s="1502" t="str">
        <f>IF('F-TIV'!Q202&lt;&gt;"",'F-TIV'!Q202,"")</f>
        <v/>
      </c>
      <c r="F205" s="1502" t="str">
        <f>IF('F-TIV'!R202&lt;&gt;"",'F-TIV'!R202,"")</f>
        <v/>
      </c>
      <c r="G205" s="1505" t="str">
        <f>IF('F-TIV'!S202&lt;&gt;"",'F-TIV'!S202,"")</f>
        <v/>
      </c>
      <c r="H205" s="1501" t="str">
        <f>IF('F-TIV'!F202&lt;&gt;"",'F-TIV'!F202,"")</f>
        <v/>
      </c>
      <c r="I205" s="1500" t="str">
        <f>IF(AND(C205&lt;&gt;"",C205&lt;&gt;"Vacant",C205&lt;&gt;"Manager"),IF('F-TIV'!H202&lt;&gt;"",'F-TIV'!H202,""),"")</f>
        <v/>
      </c>
      <c r="J205" s="1500" t="str">
        <f>IF(AND(C205&lt;&gt;"",C205&lt;&gt;"Vacant",C205&lt;&gt;"Manager"),IF('F-TIV'!J202&lt;&gt;0,'F-TIV'!J202,"$0"),"")</f>
        <v/>
      </c>
      <c r="K205" s="1500" t="str">
        <f t="shared" si="76"/>
        <v/>
      </c>
      <c r="L205" s="1504" t="str">
        <f t="shared" si="77"/>
        <v/>
      </c>
      <c r="M205" s="1504" t="str">
        <f t="shared" si="78"/>
        <v/>
      </c>
      <c r="N205" s="1504" t="str">
        <f t="shared" si="79"/>
        <v/>
      </c>
      <c r="O205" s="1504" t="str">
        <f t="shared" si="80"/>
        <v/>
      </c>
      <c r="P205" s="1504" t="str">
        <f t="shared" si="81"/>
        <v/>
      </c>
      <c r="Q205" s="1504" t="str">
        <f t="shared" si="82"/>
        <v/>
      </c>
      <c r="R205" s="1504" t="str">
        <f t="shared" si="83"/>
        <v/>
      </c>
      <c r="S205" s="1504" t="str">
        <f t="shared" si="84"/>
        <v/>
      </c>
      <c r="T205" s="1504" t="str">
        <f t="shared" si="85"/>
        <v/>
      </c>
      <c r="U205" s="1504" t="str">
        <f t="shared" si="86"/>
        <v/>
      </c>
      <c r="V205" s="1503" t="str">
        <f>IF(AND(C205&lt;&gt;"",C205&lt;&gt;"Vacant",C205&lt;&gt;"Manager"),'F-TIV'!O202,"")</f>
        <v/>
      </c>
      <c r="W205" s="1502" t="str">
        <f>IF(AND(C205&lt;&gt;"",C205&lt;&gt;"Vacant",C205&lt;&gt;"Manager"),'F-TIV'!P202,"")</f>
        <v/>
      </c>
      <c r="X205" s="1498" t="str">
        <f t="shared" si="87"/>
        <v/>
      </c>
      <c r="Y205" s="1501" t="str">
        <f>IF('F-TIV'!G202&lt;&gt;"",'F-TIV'!G202,"")</f>
        <v/>
      </c>
      <c r="Z205" s="1500" t="str">
        <f>IF(AND(C205&lt;&gt;"",C205&lt;&gt;"Vacant",C205&lt;&gt;"Manager"),'F-TIV'!L202,"")</f>
        <v/>
      </c>
      <c r="AA205" s="1499" t="str">
        <f t="shared" si="88"/>
        <v/>
      </c>
      <c r="AB205" s="1498" t="str">
        <f t="shared" si="89"/>
        <v/>
      </c>
      <c r="AC205" s="1426"/>
      <c r="AD205" s="1426"/>
      <c r="AE205" s="1426"/>
      <c r="AG205" s="1497"/>
      <c r="AL205" s="1496"/>
      <c r="AN205" s="1496"/>
      <c r="AO205" s="1496"/>
      <c r="AP205" s="1496"/>
      <c r="AQ205" s="1496"/>
      <c r="AR205" s="1496"/>
    </row>
    <row r="206" spans="2:44" s="1442" customFormat="1" ht="11.25" customHeight="1">
      <c r="B206" s="1501" t="str">
        <f t="shared" si="75"/>
        <v>0</v>
      </c>
      <c r="C206" s="1506" t="str">
        <f>IF('F-TIV'!D203&lt;&gt;"",'F-TIV'!D203,"")</f>
        <v/>
      </c>
      <c r="D206" s="1501" t="str">
        <f>IF('F-TIV'!C203&lt;&gt;"",'F-TIV'!C203,"")</f>
        <v/>
      </c>
      <c r="E206" s="1502" t="str">
        <f>IF('F-TIV'!Q203&lt;&gt;"",'F-TIV'!Q203,"")</f>
        <v/>
      </c>
      <c r="F206" s="1502" t="str">
        <f>IF('F-TIV'!R203&lt;&gt;"",'F-TIV'!R203,"")</f>
        <v/>
      </c>
      <c r="G206" s="1505" t="str">
        <f>IF('F-TIV'!S203&lt;&gt;"",'F-TIV'!S203,"")</f>
        <v/>
      </c>
      <c r="H206" s="1501" t="str">
        <f>IF('F-TIV'!F203&lt;&gt;"",'F-TIV'!F203,"")</f>
        <v/>
      </c>
      <c r="I206" s="1500" t="str">
        <f>IF(AND(C206&lt;&gt;"",C206&lt;&gt;"Vacant",C206&lt;&gt;"Manager"),IF('F-TIV'!H203&lt;&gt;"",'F-TIV'!H203,""),"")</f>
        <v/>
      </c>
      <c r="J206" s="1500" t="str">
        <f>IF(AND(C206&lt;&gt;"",C206&lt;&gt;"Vacant",C206&lt;&gt;"Manager"),IF('F-TIV'!J203&lt;&gt;0,'F-TIV'!J203,"$0"),"")</f>
        <v/>
      </c>
      <c r="K206" s="1500" t="str">
        <f t="shared" si="76"/>
        <v/>
      </c>
      <c r="L206" s="1504" t="str">
        <f t="shared" si="77"/>
        <v/>
      </c>
      <c r="M206" s="1504" t="str">
        <f t="shared" si="78"/>
        <v/>
      </c>
      <c r="N206" s="1504" t="str">
        <f t="shared" si="79"/>
        <v/>
      </c>
      <c r="O206" s="1504" t="str">
        <f t="shared" si="80"/>
        <v/>
      </c>
      <c r="P206" s="1504" t="str">
        <f t="shared" si="81"/>
        <v/>
      </c>
      <c r="Q206" s="1504" t="str">
        <f t="shared" si="82"/>
        <v/>
      </c>
      <c r="R206" s="1504" t="str">
        <f t="shared" si="83"/>
        <v/>
      </c>
      <c r="S206" s="1504" t="str">
        <f t="shared" si="84"/>
        <v/>
      </c>
      <c r="T206" s="1504" t="str">
        <f t="shared" si="85"/>
        <v/>
      </c>
      <c r="U206" s="1504" t="str">
        <f t="shared" si="86"/>
        <v/>
      </c>
      <c r="V206" s="1503" t="str">
        <f>IF(AND(C206&lt;&gt;"",C206&lt;&gt;"Vacant",C206&lt;&gt;"Manager"),'F-TIV'!O203,"")</f>
        <v/>
      </c>
      <c r="W206" s="1502" t="str">
        <f>IF(AND(C206&lt;&gt;"",C206&lt;&gt;"Vacant",C206&lt;&gt;"Manager"),'F-TIV'!P203,"")</f>
        <v/>
      </c>
      <c r="X206" s="1498" t="str">
        <f t="shared" si="87"/>
        <v/>
      </c>
      <c r="Y206" s="1501" t="str">
        <f>IF('F-TIV'!G203&lt;&gt;"",'F-TIV'!G203,"")</f>
        <v/>
      </c>
      <c r="Z206" s="1500" t="str">
        <f>IF(AND(C206&lt;&gt;"",C206&lt;&gt;"Vacant",C206&lt;&gt;"Manager"),'F-TIV'!L203,"")</f>
        <v/>
      </c>
      <c r="AA206" s="1499" t="str">
        <f t="shared" si="88"/>
        <v/>
      </c>
      <c r="AB206" s="1498" t="str">
        <f t="shared" si="89"/>
        <v/>
      </c>
      <c r="AC206" s="1426"/>
      <c r="AD206" s="1426"/>
      <c r="AE206" s="1426"/>
      <c r="AG206" s="1497"/>
      <c r="AL206" s="1496"/>
      <c r="AN206" s="1496"/>
      <c r="AO206" s="1496"/>
      <c r="AP206" s="1496"/>
      <c r="AQ206" s="1496"/>
      <c r="AR206" s="1496"/>
    </row>
    <row r="207" spans="2:44" s="1442" customFormat="1" ht="11.25" customHeight="1">
      <c r="B207" s="1501" t="str">
        <f t="shared" si="75"/>
        <v>0</v>
      </c>
      <c r="C207" s="1506" t="str">
        <f>IF('F-TIV'!D204&lt;&gt;"",'F-TIV'!D204,"")</f>
        <v/>
      </c>
      <c r="D207" s="1501" t="str">
        <f>IF('F-TIV'!C204&lt;&gt;"",'F-TIV'!C204,"")</f>
        <v/>
      </c>
      <c r="E207" s="1502" t="str">
        <f>IF('F-TIV'!Q204&lt;&gt;"",'F-TIV'!Q204,"")</f>
        <v/>
      </c>
      <c r="F207" s="1502" t="str">
        <f>IF('F-TIV'!R204&lt;&gt;"",'F-TIV'!R204,"")</f>
        <v/>
      </c>
      <c r="G207" s="1505" t="str">
        <f>IF('F-TIV'!S204&lt;&gt;"",'F-TIV'!S204,"")</f>
        <v/>
      </c>
      <c r="H207" s="1501" t="str">
        <f>IF('F-TIV'!F204&lt;&gt;"",'F-TIV'!F204,"")</f>
        <v/>
      </c>
      <c r="I207" s="1500" t="str">
        <f>IF(AND(C207&lt;&gt;"",C207&lt;&gt;"Vacant",C207&lt;&gt;"Manager"),IF('F-TIV'!H204&lt;&gt;"",'F-TIV'!H204,""),"")</f>
        <v/>
      </c>
      <c r="J207" s="1500" t="str">
        <f>IF(AND(C207&lt;&gt;"",C207&lt;&gt;"Vacant",C207&lt;&gt;"Manager"),IF('F-TIV'!J204&lt;&gt;0,'F-TIV'!J204,"$0"),"")</f>
        <v/>
      </c>
      <c r="K207" s="1500" t="str">
        <f t="shared" si="76"/>
        <v/>
      </c>
      <c r="L207" s="1504" t="str">
        <f t="shared" si="77"/>
        <v/>
      </c>
      <c r="M207" s="1504" t="str">
        <f t="shared" si="78"/>
        <v/>
      </c>
      <c r="N207" s="1504" t="str">
        <f t="shared" si="79"/>
        <v/>
      </c>
      <c r="O207" s="1504" t="str">
        <f t="shared" si="80"/>
        <v/>
      </c>
      <c r="P207" s="1504" t="str">
        <f t="shared" si="81"/>
        <v/>
      </c>
      <c r="Q207" s="1504" t="str">
        <f t="shared" si="82"/>
        <v/>
      </c>
      <c r="R207" s="1504" t="str">
        <f t="shared" si="83"/>
        <v/>
      </c>
      <c r="S207" s="1504" t="str">
        <f t="shared" si="84"/>
        <v/>
      </c>
      <c r="T207" s="1504" t="str">
        <f t="shared" si="85"/>
        <v/>
      </c>
      <c r="U207" s="1504" t="str">
        <f t="shared" si="86"/>
        <v/>
      </c>
      <c r="V207" s="1503" t="str">
        <f>IF(AND(C207&lt;&gt;"",C207&lt;&gt;"Vacant",C207&lt;&gt;"Manager"),'F-TIV'!O204,"")</f>
        <v/>
      </c>
      <c r="W207" s="1502" t="str">
        <f>IF(AND(C207&lt;&gt;"",C207&lt;&gt;"Vacant",C207&lt;&gt;"Manager"),'F-TIV'!P204,"")</f>
        <v/>
      </c>
      <c r="X207" s="1498" t="str">
        <f t="shared" si="87"/>
        <v/>
      </c>
      <c r="Y207" s="1501" t="str">
        <f>IF('F-TIV'!G204&lt;&gt;"",'F-TIV'!G204,"")</f>
        <v/>
      </c>
      <c r="Z207" s="1500" t="str">
        <f>IF(AND(C207&lt;&gt;"",C207&lt;&gt;"Vacant",C207&lt;&gt;"Manager"),'F-TIV'!L204,"")</f>
        <v/>
      </c>
      <c r="AA207" s="1499" t="str">
        <f t="shared" si="88"/>
        <v/>
      </c>
      <c r="AB207" s="1498" t="str">
        <f t="shared" si="89"/>
        <v/>
      </c>
      <c r="AC207" s="1426"/>
      <c r="AD207" s="1426"/>
      <c r="AE207" s="1426"/>
      <c r="AG207" s="1497"/>
      <c r="AL207" s="1496"/>
      <c r="AN207" s="1496"/>
      <c r="AO207" s="1496"/>
      <c r="AP207" s="1496"/>
      <c r="AQ207" s="1496"/>
      <c r="AR207" s="1496"/>
    </row>
    <row r="208" spans="2:44" s="1442" customFormat="1" ht="11.25" customHeight="1">
      <c r="B208" s="1501" t="str">
        <f t="shared" si="75"/>
        <v>0</v>
      </c>
      <c r="C208" s="1506" t="str">
        <f>IF('F-TIV'!D205&lt;&gt;"",'F-TIV'!D205,"")</f>
        <v/>
      </c>
      <c r="D208" s="1501" t="str">
        <f>IF('F-TIV'!C205&lt;&gt;"",'F-TIV'!C205,"")</f>
        <v/>
      </c>
      <c r="E208" s="1502" t="str">
        <f>IF('F-TIV'!Q205&lt;&gt;"",'F-TIV'!Q205,"")</f>
        <v/>
      </c>
      <c r="F208" s="1502" t="str">
        <f>IF('F-TIV'!R205&lt;&gt;"",'F-TIV'!R205,"")</f>
        <v/>
      </c>
      <c r="G208" s="1505" t="str">
        <f>IF('F-TIV'!S205&lt;&gt;"",'F-TIV'!S205,"")</f>
        <v/>
      </c>
      <c r="H208" s="1501" t="str">
        <f>IF('F-TIV'!F205&lt;&gt;"",'F-TIV'!F205,"")</f>
        <v/>
      </c>
      <c r="I208" s="1500" t="str">
        <f>IF(AND(C208&lt;&gt;"",C208&lt;&gt;"Vacant",C208&lt;&gt;"Manager"),IF('F-TIV'!H205&lt;&gt;"",'F-TIV'!H205,""),"")</f>
        <v/>
      </c>
      <c r="J208" s="1500" t="str">
        <f>IF(AND(C208&lt;&gt;"",C208&lt;&gt;"Vacant",C208&lt;&gt;"Manager"),IF('F-TIV'!J205&lt;&gt;0,'F-TIV'!J205,"$0"),"")</f>
        <v/>
      </c>
      <c r="K208" s="1500" t="str">
        <f t="shared" si="76"/>
        <v/>
      </c>
      <c r="L208" s="1504" t="str">
        <f t="shared" si="77"/>
        <v/>
      </c>
      <c r="M208" s="1504" t="str">
        <f t="shared" si="78"/>
        <v/>
      </c>
      <c r="N208" s="1504" t="str">
        <f t="shared" si="79"/>
        <v/>
      </c>
      <c r="O208" s="1504" t="str">
        <f t="shared" si="80"/>
        <v/>
      </c>
      <c r="P208" s="1504" t="str">
        <f t="shared" si="81"/>
        <v/>
      </c>
      <c r="Q208" s="1504" t="str">
        <f t="shared" si="82"/>
        <v/>
      </c>
      <c r="R208" s="1504" t="str">
        <f t="shared" si="83"/>
        <v/>
      </c>
      <c r="S208" s="1504" t="str">
        <f t="shared" si="84"/>
        <v/>
      </c>
      <c r="T208" s="1504" t="str">
        <f t="shared" si="85"/>
        <v/>
      </c>
      <c r="U208" s="1504" t="str">
        <f t="shared" si="86"/>
        <v/>
      </c>
      <c r="V208" s="1503" t="str">
        <f>IF(AND(C208&lt;&gt;"",C208&lt;&gt;"Vacant",C208&lt;&gt;"Manager"),'F-TIV'!O205,"")</f>
        <v/>
      </c>
      <c r="W208" s="1502" t="str">
        <f>IF(AND(C208&lt;&gt;"",C208&lt;&gt;"Vacant",C208&lt;&gt;"Manager"),'F-TIV'!P205,"")</f>
        <v/>
      </c>
      <c r="X208" s="1498" t="str">
        <f t="shared" si="87"/>
        <v/>
      </c>
      <c r="Y208" s="1501" t="str">
        <f>IF('F-TIV'!G205&lt;&gt;"",'F-TIV'!G205,"")</f>
        <v/>
      </c>
      <c r="Z208" s="1500" t="str">
        <f>IF(AND(C208&lt;&gt;"",C208&lt;&gt;"Vacant",C208&lt;&gt;"Manager"),'F-TIV'!L205,"")</f>
        <v/>
      </c>
      <c r="AA208" s="1499" t="str">
        <f t="shared" si="88"/>
        <v/>
      </c>
      <c r="AB208" s="1498" t="str">
        <f t="shared" si="89"/>
        <v/>
      </c>
      <c r="AC208" s="1426"/>
      <c r="AD208" s="1426"/>
      <c r="AE208" s="1426"/>
      <c r="AG208" s="1497"/>
      <c r="AL208" s="1496"/>
      <c r="AN208" s="1496"/>
      <c r="AO208" s="1496"/>
      <c r="AP208" s="1496"/>
      <c r="AQ208" s="1496"/>
      <c r="AR208" s="1496"/>
    </row>
    <row r="209" spans="2:44" s="1442" customFormat="1" ht="11.25" customHeight="1">
      <c r="B209" s="1501" t="str">
        <f t="shared" si="75"/>
        <v>0</v>
      </c>
      <c r="C209" s="1506" t="str">
        <f>IF('F-TIV'!D206&lt;&gt;"",'F-TIV'!D206,"")</f>
        <v/>
      </c>
      <c r="D209" s="1501" t="str">
        <f>IF('F-TIV'!C206&lt;&gt;"",'F-TIV'!C206,"")</f>
        <v/>
      </c>
      <c r="E209" s="1502" t="str">
        <f>IF('F-TIV'!Q206&lt;&gt;"",'F-TIV'!Q206,"")</f>
        <v/>
      </c>
      <c r="F209" s="1502" t="str">
        <f>IF('F-TIV'!R206&lt;&gt;"",'F-TIV'!R206,"")</f>
        <v/>
      </c>
      <c r="G209" s="1505" t="str">
        <f>IF('F-TIV'!S206&lt;&gt;"",'F-TIV'!S206,"")</f>
        <v/>
      </c>
      <c r="H209" s="1501" t="str">
        <f>IF('F-TIV'!F206&lt;&gt;"",'F-TIV'!F206,"")</f>
        <v/>
      </c>
      <c r="I209" s="1500" t="str">
        <f>IF(AND(C209&lt;&gt;"",C209&lt;&gt;"Vacant",C209&lt;&gt;"Manager"),IF('F-TIV'!H206&lt;&gt;"",'F-TIV'!H206,""),"")</f>
        <v/>
      </c>
      <c r="J209" s="1500" t="str">
        <f>IF(AND(C209&lt;&gt;"",C209&lt;&gt;"Vacant",C209&lt;&gt;"Manager"),IF('F-TIV'!J206&lt;&gt;0,'F-TIV'!J206,"$0"),"")</f>
        <v/>
      </c>
      <c r="K209" s="1500" t="str">
        <f t="shared" si="76"/>
        <v/>
      </c>
      <c r="L209" s="1504" t="str">
        <f t="shared" si="77"/>
        <v/>
      </c>
      <c r="M209" s="1504" t="str">
        <f t="shared" si="78"/>
        <v/>
      </c>
      <c r="N209" s="1504" t="str">
        <f t="shared" si="79"/>
        <v/>
      </c>
      <c r="O209" s="1504" t="str">
        <f t="shared" si="80"/>
        <v/>
      </c>
      <c r="P209" s="1504" t="str">
        <f t="shared" si="81"/>
        <v/>
      </c>
      <c r="Q209" s="1504" t="str">
        <f t="shared" si="82"/>
        <v/>
      </c>
      <c r="R209" s="1504" t="str">
        <f t="shared" si="83"/>
        <v/>
      </c>
      <c r="S209" s="1504" t="str">
        <f t="shared" si="84"/>
        <v/>
      </c>
      <c r="T209" s="1504" t="str">
        <f t="shared" si="85"/>
        <v/>
      </c>
      <c r="U209" s="1504" t="str">
        <f t="shared" si="86"/>
        <v/>
      </c>
      <c r="V209" s="1503" t="str">
        <f>IF(AND(C209&lt;&gt;"",C209&lt;&gt;"Vacant",C209&lt;&gt;"Manager"),'F-TIV'!O206,"")</f>
        <v/>
      </c>
      <c r="W209" s="1502" t="str">
        <f>IF(AND(C209&lt;&gt;"",C209&lt;&gt;"Vacant",C209&lt;&gt;"Manager"),'F-TIV'!P206,"")</f>
        <v/>
      </c>
      <c r="X209" s="1498" t="str">
        <f t="shared" si="87"/>
        <v/>
      </c>
      <c r="Y209" s="1501" t="str">
        <f>IF('F-TIV'!G206&lt;&gt;"",'F-TIV'!G206,"")</f>
        <v/>
      </c>
      <c r="Z209" s="1500" t="str">
        <f>IF(AND(C209&lt;&gt;"",C209&lt;&gt;"Vacant",C209&lt;&gt;"Manager"),'F-TIV'!L206,"")</f>
        <v/>
      </c>
      <c r="AA209" s="1499" t="str">
        <f t="shared" si="88"/>
        <v/>
      </c>
      <c r="AB209" s="1498" t="str">
        <f t="shared" si="89"/>
        <v/>
      </c>
      <c r="AC209" s="1426"/>
      <c r="AD209" s="1426"/>
      <c r="AE209" s="1426"/>
      <c r="AG209" s="1497"/>
      <c r="AL209" s="1496"/>
      <c r="AN209" s="1496"/>
      <c r="AO209" s="1496"/>
      <c r="AP209" s="1496"/>
      <c r="AQ209" s="1496"/>
      <c r="AR209" s="1496"/>
    </row>
    <row r="210" spans="2:44" s="1442" customFormat="1" ht="11.25" customHeight="1">
      <c r="B210" s="1501" t="str">
        <f t="shared" si="75"/>
        <v>0</v>
      </c>
      <c r="C210" s="1506" t="str">
        <f>IF('F-TIV'!D207&lt;&gt;"",'F-TIV'!D207,"")</f>
        <v/>
      </c>
      <c r="D210" s="1501" t="str">
        <f>IF('F-TIV'!C207&lt;&gt;"",'F-TIV'!C207,"")</f>
        <v/>
      </c>
      <c r="E210" s="1502" t="str">
        <f>IF('F-TIV'!Q207&lt;&gt;"",'F-TIV'!Q207,"")</f>
        <v/>
      </c>
      <c r="F210" s="1502" t="str">
        <f>IF('F-TIV'!R207&lt;&gt;"",'F-TIV'!R207,"")</f>
        <v/>
      </c>
      <c r="G210" s="1505" t="str">
        <f>IF('F-TIV'!S207&lt;&gt;"",'F-TIV'!S207,"")</f>
        <v/>
      </c>
      <c r="H210" s="1501" t="str">
        <f>IF('F-TIV'!F207&lt;&gt;"",'F-TIV'!F207,"")</f>
        <v/>
      </c>
      <c r="I210" s="1500" t="str">
        <f>IF(AND(C210&lt;&gt;"",C210&lt;&gt;"Vacant",C210&lt;&gt;"Manager"),IF('F-TIV'!H207&lt;&gt;"",'F-TIV'!H207,""),"")</f>
        <v/>
      </c>
      <c r="J210" s="1500" t="str">
        <f>IF(AND(C210&lt;&gt;"",C210&lt;&gt;"Vacant",C210&lt;&gt;"Manager"),IF('F-TIV'!J207&lt;&gt;0,'F-TIV'!J207,"$0"),"")</f>
        <v/>
      </c>
      <c r="K210" s="1500" t="str">
        <f t="shared" si="76"/>
        <v/>
      </c>
      <c r="L210" s="1504" t="str">
        <f t="shared" si="77"/>
        <v/>
      </c>
      <c r="M210" s="1504" t="str">
        <f t="shared" si="78"/>
        <v/>
      </c>
      <c r="N210" s="1504" t="str">
        <f t="shared" si="79"/>
        <v/>
      </c>
      <c r="O210" s="1504" t="str">
        <f t="shared" si="80"/>
        <v/>
      </c>
      <c r="P210" s="1504" t="str">
        <f t="shared" si="81"/>
        <v/>
      </c>
      <c r="Q210" s="1504" t="str">
        <f t="shared" si="82"/>
        <v/>
      </c>
      <c r="R210" s="1504" t="str">
        <f t="shared" si="83"/>
        <v/>
      </c>
      <c r="S210" s="1504" t="str">
        <f t="shared" si="84"/>
        <v/>
      </c>
      <c r="T210" s="1504" t="str">
        <f t="shared" si="85"/>
        <v/>
      </c>
      <c r="U210" s="1504" t="str">
        <f t="shared" si="86"/>
        <v/>
      </c>
      <c r="V210" s="1503" t="str">
        <f>IF(AND(C210&lt;&gt;"",C210&lt;&gt;"Vacant",C210&lt;&gt;"Manager"),'F-TIV'!O207,"")</f>
        <v/>
      </c>
      <c r="W210" s="1502" t="str">
        <f>IF(AND(C210&lt;&gt;"",C210&lt;&gt;"Vacant",C210&lt;&gt;"Manager"),'F-TIV'!P207,"")</f>
        <v/>
      </c>
      <c r="X210" s="1498" t="str">
        <f t="shared" si="87"/>
        <v/>
      </c>
      <c r="Y210" s="1501" t="str">
        <f>IF('F-TIV'!G207&lt;&gt;"",'F-TIV'!G207,"")</f>
        <v/>
      </c>
      <c r="Z210" s="1500" t="str">
        <f>IF(AND(C210&lt;&gt;"",C210&lt;&gt;"Vacant",C210&lt;&gt;"Manager"),'F-TIV'!L207,"")</f>
        <v/>
      </c>
      <c r="AA210" s="1499" t="str">
        <f t="shared" si="88"/>
        <v/>
      </c>
      <c r="AB210" s="1498" t="str">
        <f t="shared" si="89"/>
        <v/>
      </c>
      <c r="AC210" s="1426"/>
      <c r="AD210" s="1426"/>
      <c r="AE210" s="1426"/>
      <c r="AG210" s="1497"/>
      <c r="AL210" s="1496"/>
      <c r="AN210" s="1496"/>
      <c r="AO210" s="1496"/>
      <c r="AP210" s="1496"/>
      <c r="AQ210" s="1496"/>
      <c r="AR210" s="1496"/>
    </row>
    <row r="211" spans="2:44" s="1442" customFormat="1" ht="11.25" customHeight="1">
      <c r="B211" s="1501" t="str">
        <f t="shared" si="75"/>
        <v>0</v>
      </c>
      <c r="C211" s="1506" t="str">
        <f>IF('F-TIV'!D208&lt;&gt;"",'F-TIV'!D208,"")</f>
        <v/>
      </c>
      <c r="D211" s="1501" t="str">
        <f>IF('F-TIV'!C208&lt;&gt;"",'F-TIV'!C208,"")</f>
        <v/>
      </c>
      <c r="E211" s="1502" t="str">
        <f>IF('F-TIV'!Q208&lt;&gt;"",'F-TIV'!Q208,"")</f>
        <v/>
      </c>
      <c r="F211" s="1502" t="str">
        <f>IF('F-TIV'!R208&lt;&gt;"",'F-TIV'!R208,"")</f>
        <v/>
      </c>
      <c r="G211" s="1505" t="str">
        <f>IF('F-TIV'!S208&lt;&gt;"",'F-TIV'!S208,"")</f>
        <v/>
      </c>
      <c r="H211" s="1501" t="str">
        <f>IF('F-TIV'!F208&lt;&gt;"",'F-TIV'!F208,"")</f>
        <v/>
      </c>
      <c r="I211" s="1500" t="str">
        <f>IF(AND(C211&lt;&gt;"",C211&lt;&gt;"Vacant",C211&lt;&gt;"Manager"),IF('F-TIV'!H208&lt;&gt;"",'F-TIV'!H208,""),"")</f>
        <v/>
      </c>
      <c r="J211" s="1500" t="str">
        <f>IF(AND(C211&lt;&gt;"",C211&lt;&gt;"Vacant",C211&lt;&gt;"Manager"),IF('F-TIV'!J208&lt;&gt;0,'F-TIV'!J208,"$0"),"")</f>
        <v/>
      </c>
      <c r="K211" s="1500" t="str">
        <f t="shared" si="76"/>
        <v/>
      </c>
      <c r="L211" s="1504" t="str">
        <f t="shared" si="77"/>
        <v/>
      </c>
      <c r="M211" s="1504" t="str">
        <f t="shared" si="78"/>
        <v/>
      </c>
      <c r="N211" s="1504" t="str">
        <f t="shared" si="79"/>
        <v/>
      </c>
      <c r="O211" s="1504" t="str">
        <f t="shared" si="80"/>
        <v/>
      </c>
      <c r="P211" s="1504" t="str">
        <f t="shared" si="81"/>
        <v/>
      </c>
      <c r="Q211" s="1504" t="str">
        <f t="shared" si="82"/>
        <v/>
      </c>
      <c r="R211" s="1504" t="str">
        <f t="shared" si="83"/>
        <v/>
      </c>
      <c r="S211" s="1504" t="str">
        <f t="shared" si="84"/>
        <v/>
      </c>
      <c r="T211" s="1504" t="str">
        <f t="shared" si="85"/>
        <v/>
      </c>
      <c r="U211" s="1504" t="str">
        <f t="shared" si="86"/>
        <v/>
      </c>
      <c r="V211" s="1503" t="str">
        <f>IF(AND(C211&lt;&gt;"",C211&lt;&gt;"Vacant",C211&lt;&gt;"Manager"),'F-TIV'!O208,"")</f>
        <v/>
      </c>
      <c r="W211" s="1502" t="str">
        <f>IF(AND(C211&lt;&gt;"",C211&lt;&gt;"Vacant",C211&lt;&gt;"Manager"),'F-TIV'!P208,"")</f>
        <v/>
      </c>
      <c r="X211" s="1498" t="str">
        <f t="shared" si="87"/>
        <v/>
      </c>
      <c r="Y211" s="1501" t="str">
        <f>IF('F-TIV'!G208&lt;&gt;"",'F-TIV'!G208,"")</f>
        <v/>
      </c>
      <c r="Z211" s="1500" t="str">
        <f>IF(AND(C211&lt;&gt;"",C211&lt;&gt;"Vacant",C211&lt;&gt;"Manager"),'F-TIV'!L208,"")</f>
        <v/>
      </c>
      <c r="AA211" s="1499" t="str">
        <f t="shared" si="88"/>
        <v/>
      </c>
      <c r="AB211" s="1498" t="str">
        <f t="shared" si="89"/>
        <v/>
      </c>
      <c r="AC211" s="1426"/>
      <c r="AD211" s="1426"/>
      <c r="AE211" s="1426"/>
      <c r="AG211" s="1497"/>
      <c r="AL211" s="1496"/>
      <c r="AN211" s="1496"/>
      <c r="AO211" s="1496"/>
      <c r="AP211" s="1496"/>
      <c r="AQ211" s="1496"/>
      <c r="AR211" s="1496"/>
    </row>
    <row r="212" spans="2:44" s="1442" customFormat="1" ht="11.25" customHeight="1">
      <c r="B212" s="1501" t="str">
        <f t="shared" si="75"/>
        <v>0</v>
      </c>
      <c r="C212" s="1506" t="str">
        <f>IF('F-TIV'!D209&lt;&gt;"",'F-TIV'!D209,"")</f>
        <v/>
      </c>
      <c r="D212" s="1501" t="str">
        <f>IF('F-TIV'!C209&lt;&gt;"",'F-TIV'!C209,"")</f>
        <v/>
      </c>
      <c r="E212" s="1502" t="str">
        <f>IF('F-TIV'!Q209&lt;&gt;"",'F-TIV'!Q209,"")</f>
        <v/>
      </c>
      <c r="F212" s="1502" t="str">
        <f>IF('F-TIV'!R209&lt;&gt;"",'F-TIV'!R209,"")</f>
        <v/>
      </c>
      <c r="G212" s="1505" t="str">
        <f>IF('F-TIV'!S209&lt;&gt;"",'F-TIV'!S209,"")</f>
        <v/>
      </c>
      <c r="H212" s="1501" t="str">
        <f>IF('F-TIV'!F209&lt;&gt;"",'F-TIV'!F209,"")</f>
        <v/>
      </c>
      <c r="I212" s="1500" t="str">
        <f>IF(AND(C212&lt;&gt;"",C212&lt;&gt;"Vacant",C212&lt;&gt;"Manager"),IF('F-TIV'!H209&lt;&gt;"",'F-TIV'!H209,""),"")</f>
        <v/>
      </c>
      <c r="J212" s="1500" t="str">
        <f>IF(AND(C212&lt;&gt;"",C212&lt;&gt;"Vacant",C212&lt;&gt;"Manager"),IF('F-TIV'!J209&lt;&gt;0,'F-TIV'!J209,"$0"),"")</f>
        <v/>
      </c>
      <c r="K212" s="1500" t="str">
        <f t="shared" si="76"/>
        <v/>
      </c>
      <c r="L212" s="1504" t="str">
        <f t="shared" si="77"/>
        <v/>
      </c>
      <c r="M212" s="1504" t="str">
        <f t="shared" si="78"/>
        <v/>
      </c>
      <c r="N212" s="1504" t="str">
        <f t="shared" si="79"/>
        <v/>
      </c>
      <c r="O212" s="1504" t="str">
        <f t="shared" si="80"/>
        <v/>
      </c>
      <c r="P212" s="1504" t="str">
        <f t="shared" si="81"/>
        <v/>
      </c>
      <c r="Q212" s="1504" t="str">
        <f t="shared" si="82"/>
        <v/>
      </c>
      <c r="R212" s="1504" t="str">
        <f t="shared" si="83"/>
        <v/>
      </c>
      <c r="S212" s="1504" t="str">
        <f t="shared" si="84"/>
        <v/>
      </c>
      <c r="T212" s="1504" t="str">
        <f t="shared" si="85"/>
        <v/>
      </c>
      <c r="U212" s="1504" t="str">
        <f t="shared" si="86"/>
        <v/>
      </c>
      <c r="V212" s="1503" t="str">
        <f>IF(AND(C212&lt;&gt;"",C212&lt;&gt;"Vacant",C212&lt;&gt;"Manager"),'F-TIV'!O209,"")</f>
        <v/>
      </c>
      <c r="W212" s="1502" t="str">
        <f>IF(AND(C212&lt;&gt;"",C212&lt;&gt;"Vacant",C212&lt;&gt;"Manager"),'F-TIV'!P209,"")</f>
        <v/>
      </c>
      <c r="X212" s="1498" t="str">
        <f t="shared" si="87"/>
        <v/>
      </c>
      <c r="Y212" s="1501" t="str">
        <f>IF('F-TIV'!G209&lt;&gt;"",'F-TIV'!G209,"")</f>
        <v/>
      </c>
      <c r="Z212" s="1500" t="str">
        <f>IF(AND(C212&lt;&gt;"",C212&lt;&gt;"Vacant",C212&lt;&gt;"Manager"),'F-TIV'!L209,"")</f>
        <v/>
      </c>
      <c r="AA212" s="1499" t="str">
        <f t="shared" si="88"/>
        <v/>
      </c>
      <c r="AB212" s="1498" t="str">
        <f t="shared" si="89"/>
        <v/>
      </c>
      <c r="AC212" s="1426"/>
      <c r="AD212" s="1426"/>
      <c r="AE212" s="1426"/>
      <c r="AG212" s="1497"/>
      <c r="AL212" s="1496"/>
      <c r="AN212" s="1496"/>
      <c r="AO212" s="1496"/>
      <c r="AP212" s="1496"/>
      <c r="AQ212" s="1496"/>
      <c r="AR212" s="1496"/>
    </row>
    <row r="213" spans="2:44" s="1442" customFormat="1" ht="11.25" customHeight="1">
      <c r="B213" s="1501" t="str">
        <f t="shared" si="75"/>
        <v>0</v>
      </c>
      <c r="C213" s="1506" t="str">
        <f>IF('F-TIV'!D210&lt;&gt;"",'F-TIV'!D210,"")</f>
        <v/>
      </c>
      <c r="D213" s="1501" t="str">
        <f>IF('F-TIV'!C210&lt;&gt;"",'F-TIV'!C210,"")</f>
        <v/>
      </c>
      <c r="E213" s="1502" t="str">
        <f>IF('F-TIV'!Q210&lt;&gt;"",'F-TIV'!Q210,"")</f>
        <v/>
      </c>
      <c r="F213" s="1502" t="str">
        <f>IF('F-TIV'!R210&lt;&gt;"",'F-TIV'!R210,"")</f>
        <v/>
      </c>
      <c r="G213" s="1505" t="str">
        <f>IF('F-TIV'!S210&lt;&gt;"",'F-TIV'!S210,"")</f>
        <v/>
      </c>
      <c r="H213" s="1501" t="str">
        <f>IF('F-TIV'!F210&lt;&gt;"",'F-TIV'!F210,"")</f>
        <v/>
      </c>
      <c r="I213" s="1500" t="str">
        <f>IF(AND(C213&lt;&gt;"",C213&lt;&gt;"Vacant",C213&lt;&gt;"Manager"),IF('F-TIV'!H210&lt;&gt;"",'F-TIV'!H210,""),"")</f>
        <v/>
      </c>
      <c r="J213" s="1500" t="str">
        <f>IF(AND(C213&lt;&gt;"",C213&lt;&gt;"Vacant",C213&lt;&gt;"Manager"),IF('F-TIV'!J210&lt;&gt;0,'F-TIV'!J210,"$0"),"")</f>
        <v/>
      </c>
      <c r="K213" s="1500" t="str">
        <f t="shared" si="76"/>
        <v/>
      </c>
      <c r="L213" s="1504" t="str">
        <f t="shared" si="77"/>
        <v/>
      </c>
      <c r="M213" s="1504" t="str">
        <f t="shared" si="78"/>
        <v/>
      </c>
      <c r="N213" s="1504" t="str">
        <f t="shared" si="79"/>
        <v/>
      </c>
      <c r="O213" s="1504" t="str">
        <f t="shared" si="80"/>
        <v/>
      </c>
      <c r="P213" s="1504" t="str">
        <f t="shared" si="81"/>
        <v/>
      </c>
      <c r="Q213" s="1504" t="str">
        <f t="shared" si="82"/>
        <v/>
      </c>
      <c r="R213" s="1504" t="str">
        <f t="shared" si="83"/>
        <v/>
      </c>
      <c r="S213" s="1504" t="str">
        <f t="shared" si="84"/>
        <v/>
      </c>
      <c r="T213" s="1504" t="str">
        <f t="shared" si="85"/>
        <v/>
      </c>
      <c r="U213" s="1504" t="str">
        <f t="shared" si="86"/>
        <v/>
      </c>
      <c r="V213" s="1503" t="str">
        <f>IF(AND(C213&lt;&gt;"",C213&lt;&gt;"Vacant",C213&lt;&gt;"Manager"),'F-TIV'!O210,"")</f>
        <v/>
      </c>
      <c r="W213" s="1502" t="str">
        <f>IF(AND(C213&lt;&gt;"",C213&lt;&gt;"Vacant",C213&lt;&gt;"Manager"),'F-TIV'!P210,"")</f>
        <v/>
      </c>
      <c r="X213" s="1498" t="str">
        <f t="shared" si="87"/>
        <v/>
      </c>
      <c r="Y213" s="1501" t="str">
        <f>IF('F-TIV'!G210&lt;&gt;"",'F-TIV'!G210,"")</f>
        <v/>
      </c>
      <c r="Z213" s="1500" t="str">
        <f>IF(AND(C213&lt;&gt;"",C213&lt;&gt;"Vacant",C213&lt;&gt;"Manager"),'F-TIV'!L210,"")</f>
        <v/>
      </c>
      <c r="AA213" s="1499" t="str">
        <f t="shared" si="88"/>
        <v/>
      </c>
      <c r="AB213" s="1498" t="str">
        <f t="shared" si="89"/>
        <v/>
      </c>
      <c r="AC213" s="1426"/>
      <c r="AD213" s="1426"/>
      <c r="AE213" s="1426"/>
      <c r="AG213" s="1497"/>
      <c r="AL213" s="1496"/>
      <c r="AN213" s="1496"/>
      <c r="AO213" s="1496"/>
      <c r="AP213" s="1496"/>
      <c r="AQ213" s="1496"/>
      <c r="AR213" s="1496"/>
    </row>
    <row r="214" spans="2:44" s="1442" customFormat="1" ht="11.25" customHeight="1">
      <c r="B214" s="1501" t="str">
        <f t="shared" si="75"/>
        <v>0</v>
      </c>
      <c r="C214" s="1506" t="str">
        <f>IF('F-TIV'!D211&lt;&gt;"",'F-TIV'!D211,"")</f>
        <v/>
      </c>
      <c r="D214" s="1501" t="str">
        <f>IF('F-TIV'!C211&lt;&gt;"",'F-TIV'!C211,"")</f>
        <v/>
      </c>
      <c r="E214" s="1502" t="str">
        <f>IF('F-TIV'!Q211&lt;&gt;"",'F-TIV'!Q211,"")</f>
        <v/>
      </c>
      <c r="F214" s="1502" t="str">
        <f>IF('F-TIV'!R211&lt;&gt;"",'F-TIV'!R211,"")</f>
        <v/>
      </c>
      <c r="G214" s="1505" t="str">
        <f>IF('F-TIV'!S211&lt;&gt;"",'F-TIV'!S211,"")</f>
        <v/>
      </c>
      <c r="H214" s="1501" t="str">
        <f>IF('F-TIV'!F211&lt;&gt;"",'F-TIV'!F211,"")</f>
        <v/>
      </c>
      <c r="I214" s="1500" t="str">
        <f>IF(AND(C214&lt;&gt;"",C214&lt;&gt;"Vacant",C214&lt;&gt;"Manager"),IF('F-TIV'!H211&lt;&gt;"",'F-TIV'!H211,""),"")</f>
        <v/>
      </c>
      <c r="J214" s="1500" t="str">
        <f>IF(AND(C214&lt;&gt;"",C214&lt;&gt;"Vacant",C214&lt;&gt;"Manager"),IF('F-TIV'!J211&lt;&gt;0,'F-TIV'!J211,"$0"),"")</f>
        <v/>
      </c>
      <c r="K214" s="1500" t="str">
        <f t="shared" si="76"/>
        <v/>
      </c>
      <c r="L214" s="1504" t="str">
        <f t="shared" si="77"/>
        <v/>
      </c>
      <c r="M214" s="1504" t="str">
        <f t="shared" si="78"/>
        <v/>
      </c>
      <c r="N214" s="1504" t="str">
        <f t="shared" si="79"/>
        <v/>
      </c>
      <c r="O214" s="1504" t="str">
        <f t="shared" si="80"/>
        <v/>
      </c>
      <c r="P214" s="1504" t="str">
        <f t="shared" si="81"/>
        <v/>
      </c>
      <c r="Q214" s="1504" t="str">
        <f t="shared" si="82"/>
        <v/>
      </c>
      <c r="R214" s="1504" t="str">
        <f t="shared" si="83"/>
        <v/>
      </c>
      <c r="S214" s="1504" t="str">
        <f t="shared" si="84"/>
        <v/>
      </c>
      <c r="T214" s="1504" t="str">
        <f t="shared" si="85"/>
        <v/>
      </c>
      <c r="U214" s="1504" t="str">
        <f t="shared" si="86"/>
        <v/>
      </c>
      <c r="V214" s="1503" t="str">
        <f>IF(AND(C214&lt;&gt;"",C214&lt;&gt;"Vacant",C214&lt;&gt;"Manager"),'F-TIV'!O211,"")</f>
        <v/>
      </c>
      <c r="W214" s="1502" t="str">
        <f>IF(AND(C214&lt;&gt;"",C214&lt;&gt;"Vacant",C214&lt;&gt;"Manager"),'F-TIV'!P211,"")</f>
        <v/>
      </c>
      <c r="X214" s="1498" t="str">
        <f t="shared" si="87"/>
        <v/>
      </c>
      <c r="Y214" s="1501" t="str">
        <f>IF('F-TIV'!G211&lt;&gt;"",'F-TIV'!G211,"")</f>
        <v/>
      </c>
      <c r="Z214" s="1500" t="str">
        <f>IF(AND(C214&lt;&gt;"",C214&lt;&gt;"Vacant",C214&lt;&gt;"Manager"),'F-TIV'!L211,"")</f>
        <v/>
      </c>
      <c r="AA214" s="1499" t="str">
        <f t="shared" si="88"/>
        <v/>
      </c>
      <c r="AB214" s="1498" t="str">
        <f t="shared" si="89"/>
        <v/>
      </c>
      <c r="AC214" s="1426"/>
      <c r="AD214" s="1426"/>
      <c r="AE214" s="1426"/>
      <c r="AG214" s="1497"/>
      <c r="AL214" s="1496"/>
      <c r="AN214" s="1496"/>
      <c r="AO214" s="1496"/>
      <c r="AP214" s="1496"/>
      <c r="AQ214" s="1496"/>
      <c r="AR214" s="1496"/>
    </row>
    <row r="215" spans="2:44" s="1442" customFormat="1" ht="11.25" customHeight="1">
      <c r="B215" s="1501" t="str">
        <f t="shared" si="75"/>
        <v>0</v>
      </c>
      <c r="C215" s="1506" t="str">
        <f>IF('F-TIV'!D212&lt;&gt;"",'F-TIV'!D212,"")</f>
        <v/>
      </c>
      <c r="D215" s="1501" t="str">
        <f>IF('F-TIV'!C212&lt;&gt;"",'F-TIV'!C212,"")</f>
        <v/>
      </c>
      <c r="E215" s="1502" t="str">
        <f>IF('F-TIV'!Q212&lt;&gt;"",'F-TIV'!Q212,"")</f>
        <v/>
      </c>
      <c r="F215" s="1502" t="str">
        <f>IF('F-TIV'!R212&lt;&gt;"",'F-TIV'!R212,"")</f>
        <v/>
      </c>
      <c r="G215" s="1505" t="str">
        <f>IF('F-TIV'!S212&lt;&gt;"",'F-TIV'!S212,"")</f>
        <v/>
      </c>
      <c r="H215" s="1501" t="str">
        <f>IF('F-TIV'!F212&lt;&gt;"",'F-TIV'!F212,"")</f>
        <v/>
      </c>
      <c r="I215" s="1500" t="str">
        <f>IF(AND(C215&lt;&gt;"",C215&lt;&gt;"Vacant",C215&lt;&gt;"Manager"),IF('F-TIV'!H212&lt;&gt;"",'F-TIV'!H212,""),"")</f>
        <v/>
      </c>
      <c r="J215" s="1500" t="str">
        <f>IF(AND(C215&lt;&gt;"",C215&lt;&gt;"Vacant",C215&lt;&gt;"Manager"),IF('F-TIV'!J212&lt;&gt;0,'F-TIV'!J212,"$0"),"")</f>
        <v/>
      </c>
      <c r="K215" s="1500" t="str">
        <f t="shared" si="76"/>
        <v/>
      </c>
      <c r="L215" s="1504" t="str">
        <f t="shared" si="77"/>
        <v/>
      </c>
      <c r="M215" s="1504" t="str">
        <f t="shared" si="78"/>
        <v/>
      </c>
      <c r="N215" s="1504" t="str">
        <f t="shared" si="79"/>
        <v/>
      </c>
      <c r="O215" s="1504" t="str">
        <f t="shared" si="80"/>
        <v/>
      </c>
      <c r="P215" s="1504" t="str">
        <f t="shared" si="81"/>
        <v/>
      </c>
      <c r="Q215" s="1504" t="str">
        <f t="shared" si="82"/>
        <v/>
      </c>
      <c r="R215" s="1504" t="str">
        <f t="shared" si="83"/>
        <v/>
      </c>
      <c r="S215" s="1504" t="str">
        <f t="shared" si="84"/>
        <v/>
      </c>
      <c r="T215" s="1504" t="str">
        <f t="shared" si="85"/>
        <v/>
      </c>
      <c r="U215" s="1504" t="str">
        <f t="shared" si="86"/>
        <v/>
      </c>
      <c r="V215" s="1503" t="str">
        <f>IF(AND(C215&lt;&gt;"",C215&lt;&gt;"Vacant",C215&lt;&gt;"Manager"),'F-TIV'!O212,"")</f>
        <v/>
      </c>
      <c r="W215" s="1502" t="str">
        <f>IF(AND(C215&lt;&gt;"",C215&lt;&gt;"Vacant",C215&lt;&gt;"Manager"),'F-TIV'!P212,"")</f>
        <v/>
      </c>
      <c r="X215" s="1498" t="str">
        <f t="shared" si="87"/>
        <v/>
      </c>
      <c r="Y215" s="1501" t="str">
        <f>IF('F-TIV'!G212&lt;&gt;"",'F-TIV'!G212,"")</f>
        <v/>
      </c>
      <c r="Z215" s="1500" t="str">
        <f>IF(AND(C215&lt;&gt;"",C215&lt;&gt;"Vacant",C215&lt;&gt;"Manager"),'F-TIV'!L212,"")</f>
        <v/>
      </c>
      <c r="AA215" s="1499" t="str">
        <f t="shared" si="88"/>
        <v/>
      </c>
      <c r="AB215" s="1498" t="str">
        <f t="shared" si="89"/>
        <v/>
      </c>
      <c r="AC215" s="1426"/>
      <c r="AD215" s="1426"/>
      <c r="AE215" s="1426"/>
      <c r="AG215" s="1497"/>
      <c r="AL215" s="1496"/>
      <c r="AN215" s="1496"/>
      <c r="AO215" s="1496"/>
      <c r="AP215" s="1496"/>
      <c r="AQ215" s="1496"/>
      <c r="AR215" s="1496"/>
    </row>
    <row r="216" spans="2:44" s="1442" customFormat="1" ht="11.25" customHeight="1">
      <c r="B216" s="1501" t="str">
        <f t="shared" si="75"/>
        <v>0</v>
      </c>
      <c r="C216" s="1506" t="str">
        <f>IF('F-TIV'!D213&lt;&gt;"",'F-TIV'!D213,"")</f>
        <v/>
      </c>
      <c r="D216" s="1501" t="str">
        <f>IF('F-TIV'!C213&lt;&gt;"",'F-TIV'!C213,"")</f>
        <v/>
      </c>
      <c r="E216" s="1502" t="str">
        <f>IF('F-TIV'!Q213&lt;&gt;"",'F-TIV'!Q213,"")</f>
        <v/>
      </c>
      <c r="F216" s="1502" t="str">
        <f>IF('F-TIV'!R213&lt;&gt;"",'F-TIV'!R213,"")</f>
        <v/>
      </c>
      <c r="G216" s="1505" t="str">
        <f>IF('F-TIV'!S213&lt;&gt;"",'F-TIV'!S213,"")</f>
        <v/>
      </c>
      <c r="H216" s="1501" t="str">
        <f>IF('F-TIV'!F213&lt;&gt;"",'F-TIV'!F213,"")</f>
        <v/>
      </c>
      <c r="I216" s="1500" t="str">
        <f>IF(AND(C216&lt;&gt;"",C216&lt;&gt;"Vacant",C216&lt;&gt;"Manager"),IF('F-TIV'!H213&lt;&gt;"",'F-TIV'!H213,""),"")</f>
        <v/>
      </c>
      <c r="J216" s="1500" t="str">
        <f>IF(AND(C216&lt;&gt;"",C216&lt;&gt;"Vacant",C216&lt;&gt;"Manager"),IF('F-TIV'!J213&lt;&gt;0,'F-TIV'!J213,"$0"),"")</f>
        <v/>
      </c>
      <c r="K216" s="1500" t="str">
        <f t="shared" si="76"/>
        <v/>
      </c>
      <c r="L216" s="1504" t="str">
        <f t="shared" si="77"/>
        <v/>
      </c>
      <c r="M216" s="1504" t="str">
        <f t="shared" si="78"/>
        <v/>
      </c>
      <c r="N216" s="1504" t="str">
        <f t="shared" si="79"/>
        <v/>
      </c>
      <c r="O216" s="1504" t="str">
        <f t="shared" si="80"/>
        <v/>
      </c>
      <c r="P216" s="1504" t="str">
        <f t="shared" si="81"/>
        <v/>
      </c>
      <c r="Q216" s="1504" t="str">
        <f t="shared" si="82"/>
        <v/>
      </c>
      <c r="R216" s="1504" t="str">
        <f t="shared" si="83"/>
        <v/>
      </c>
      <c r="S216" s="1504" t="str">
        <f t="shared" si="84"/>
        <v/>
      </c>
      <c r="T216" s="1504" t="str">
        <f t="shared" si="85"/>
        <v/>
      </c>
      <c r="U216" s="1504" t="str">
        <f t="shared" si="86"/>
        <v/>
      </c>
      <c r="V216" s="1503" t="str">
        <f>IF(AND(C216&lt;&gt;"",C216&lt;&gt;"Vacant",C216&lt;&gt;"Manager"),'F-TIV'!O213,"")</f>
        <v/>
      </c>
      <c r="W216" s="1502" t="str">
        <f>IF(AND(C216&lt;&gt;"",C216&lt;&gt;"Vacant",C216&lt;&gt;"Manager"),'F-TIV'!P213,"")</f>
        <v/>
      </c>
      <c r="X216" s="1498" t="str">
        <f t="shared" si="87"/>
        <v/>
      </c>
      <c r="Y216" s="1501" t="str">
        <f>IF('F-TIV'!G213&lt;&gt;"",'F-TIV'!G213,"")</f>
        <v/>
      </c>
      <c r="Z216" s="1500" t="str">
        <f>IF(AND(C216&lt;&gt;"",C216&lt;&gt;"Vacant",C216&lt;&gt;"Manager"),'F-TIV'!L213,"")</f>
        <v/>
      </c>
      <c r="AA216" s="1499" t="str">
        <f t="shared" si="88"/>
        <v/>
      </c>
      <c r="AB216" s="1498" t="str">
        <f t="shared" si="89"/>
        <v/>
      </c>
      <c r="AC216" s="1426"/>
      <c r="AD216" s="1426"/>
      <c r="AE216" s="1426"/>
      <c r="AG216" s="1497"/>
      <c r="AL216" s="1496"/>
      <c r="AN216" s="1496"/>
      <c r="AO216" s="1496"/>
      <c r="AP216" s="1496"/>
      <c r="AQ216" s="1496"/>
      <c r="AR216" s="1496"/>
    </row>
    <row r="217" spans="2:44" s="1442" customFormat="1" ht="11.25" customHeight="1">
      <c r="B217" s="1501" t="str">
        <f t="shared" si="75"/>
        <v>0</v>
      </c>
      <c r="C217" s="1506" t="str">
        <f>IF('F-TIV'!D214&lt;&gt;"",'F-TIV'!D214,"")</f>
        <v/>
      </c>
      <c r="D217" s="1501" t="str">
        <f>IF('F-TIV'!C214&lt;&gt;"",'F-TIV'!C214,"")</f>
        <v/>
      </c>
      <c r="E217" s="1502" t="str">
        <f>IF('F-TIV'!Q214&lt;&gt;"",'F-TIV'!Q214,"")</f>
        <v/>
      </c>
      <c r="F217" s="1502" t="str">
        <f>IF('F-TIV'!R214&lt;&gt;"",'F-TIV'!R214,"")</f>
        <v/>
      </c>
      <c r="G217" s="1505" t="str">
        <f>IF('F-TIV'!S214&lt;&gt;"",'F-TIV'!S214,"")</f>
        <v/>
      </c>
      <c r="H217" s="1501" t="str">
        <f>IF('F-TIV'!F214&lt;&gt;"",'F-TIV'!F214,"")</f>
        <v/>
      </c>
      <c r="I217" s="1500" t="str">
        <f>IF(AND(C217&lt;&gt;"",C217&lt;&gt;"Vacant",C217&lt;&gt;"Manager"),IF('F-TIV'!H214&lt;&gt;"",'F-TIV'!H214,""),"")</f>
        <v/>
      </c>
      <c r="J217" s="1500" t="str">
        <f>IF(AND(C217&lt;&gt;"",C217&lt;&gt;"Vacant",C217&lt;&gt;"Manager"),IF('F-TIV'!J214&lt;&gt;0,'F-TIV'!J214,"$0"),"")</f>
        <v/>
      </c>
      <c r="K217" s="1500" t="str">
        <f t="shared" si="76"/>
        <v/>
      </c>
      <c r="L217" s="1504" t="str">
        <f t="shared" si="77"/>
        <v/>
      </c>
      <c r="M217" s="1504" t="str">
        <f t="shared" si="78"/>
        <v/>
      </c>
      <c r="N217" s="1504" t="str">
        <f t="shared" si="79"/>
        <v/>
      </c>
      <c r="O217" s="1504" t="str">
        <f t="shared" si="80"/>
        <v/>
      </c>
      <c r="P217" s="1504" t="str">
        <f t="shared" si="81"/>
        <v/>
      </c>
      <c r="Q217" s="1504" t="str">
        <f t="shared" si="82"/>
        <v/>
      </c>
      <c r="R217" s="1504" t="str">
        <f t="shared" si="83"/>
        <v/>
      </c>
      <c r="S217" s="1504" t="str">
        <f t="shared" si="84"/>
        <v/>
      </c>
      <c r="T217" s="1504" t="str">
        <f t="shared" si="85"/>
        <v/>
      </c>
      <c r="U217" s="1504" t="str">
        <f t="shared" si="86"/>
        <v/>
      </c>
      <c r="V217" s="1503" t="str">
        <f>IF(AND(C217&lt;&gt;"",C217&lt;&gt;"Vacant",C217&lt;&gt;"Manager"),'F-TIV'!O214,"")</f>
        <v/>
      </c>
      <c r="W217" s="1502" t="str">
        <f>IF(AND(C217&lt;&gt;"",C217&lt;&gt;"Vacant",C217&lt;&gt;"Manager"),'F-TIV'!P214,"")</f>
        <v/>
      </c>
      <c r="X217" s="1498" t="str">
        <f t="shared" si="87"/>
        <v/>
      </c>
      <c r="Y217" s="1501" t="str">
        <f>IF('F-TIV'!G214&lt;&gt;"",'F-TIV'!G214,"")</f>
        <v/>
      </c>
      <c r="Z217" s="1500" t="str">
        <f>IF(AND(C217&lt;&gt;"",C217&lt;&gt;"Vacant",C217&lt;&gt;"Manager"),'F-TIV'!L214,"")</f>
        <v/>
      </c>
      <c r="AA217" s="1499" t="str">
        <f t="shared" si="88"/>
        <v/>
      </c>
      <c r="AB217" s="1498" t="str">
        <f t="shared" si="89"/>
        <v/>
      </c>
      <c r="AC217" s="1426"/>
      <c r="AD217" s="1426"/>
      <c r="AE217" s="1426"/>
      <c r="AG217" s="1497"/>
      <c r="AL217" s="1496"/>
      <c r="AN217" s="1496"/>
      <c r="AO217" s="1496"/>
      <c r="AP217" s="1496"/>
      <c r="AQ217" s="1496"/>
      <c r="AR217" s="1496"/>
    </row>
    <row r="218" spans="2:44" s="1442" customFormat="1" ht="11.25" customHeight="1">
      <c r="B218" s="1501" t="str">
        <f t="shared" si="75"/>
        <v>0</v>
      </c>
      <c r="C218" s="1506" t="str">
        <f>IF('F-TIV'!D215&lt;&gt;"",'F-TIV'!D215,"")</f>
        <v/>
      </c>
      <c r="D218" s="1501" t="str">
        <f>IF('F-TIV'!C215&lt;&gt;"",'F-TIV'!C215,"")</f>
        <v/>
      </c>
      <c r="E218" s="1502" t="str">
        <f>IF('F-TIV'!Q215&lt;&gt;"",'F-TIV'!Q215,"")</f>
        <v/>
      </c>
      <c r="F218" s="1502" t="str">
        <f>IF('F-TIV'!R215&lt;&gt;"",'F-TIV'!R215,"")</f>
        <v/>
      </c>
      <c r="G218" s="1505" t="str">
        <f>IF('F-TIV'!S215&lt;&gt;"",'F-TIV'!S215,"")</f>
        <v/>
      </c>
      <c r="H218" s="1501" t="str">
        <f>IF('F-TIV'!F215&lt;&gt;"",'F-TIV'!F215,"")</f>
        <v/>
      </c>
      <c r="I218" s="1500" t="str">
        <f>IF(AND(C218&lt;&gt;"",C218&lt;&gt;"Vacant",C218&lt;&gt;"Manager"),IF('F-TIV'!H215&lt;&gt;"",'F-TIV'!H215,""),"")</f>
        <v/>
      </c>
      <c r="J218" s="1500" t="str">
        <f>IF(AND(C218&lt;&gt;"",C218&lt;&gt;"Vacant",C218&lt;&gt;"Manager"),IF('F-TIV'!J215&lt;&gt;0,'F-TIV'!J215,"$0"),"")</f>
        <v/>
      </c>
      <c r="K218" s="1500" t="str">
        <f t="shared" si="76"/>
        <v/>
      </c>
      <c r="L218" s="1504" t="str">
        <f t="shared" si="77"/>
        <v/>
      </c>
      <c r="M218" s="1504" t="str">
        <f t="shared" si="78"/>
        <v/>
      </c>
      <c r="N218" s="1504" t="str">
        <f t="shared" si="79"/>
        <v/>
      </c>
      <c r="O218" s="1504" t="str">
        <f t="shared" si="80"/>
        <v/>
      </c>
      <c r="P218" s="1504" t="str">
        <f t="shared" si="81"/>
        <v/>
      </c>
      <c r="Q218" s="1504" t="str">
        <f t="shared" si="82"/>
        <v/>
      </c>
      <c r="R218" s="1504" t="str">
        <f t="shared" si="83"/>
        <v/>
      </c>
      <c r="S218" s="1504" t="str">
        <f t="shared" si="84"/>
        <v/>
      </c>
      <c r="T218" s="1504" t="str">
        <f t="shared" si="85"/>
        <v/>
      </c>
      <c r="U218" s="1504" t="str">
        <f t="shared" si="86"/>
        <v/>
      </c>
      <c r="V218" s="1503" t="str">
        <f>IF(AND(C218&lt;&gt;"",C218&lt;&gt;"Vacant",C218&lt;&gt;"Manager"),'F-TIV'!O215,"")</f>
        <v/>
      </c>
      <c r="W218" s="1502" t="str">
        <f>IF(AND(C218&lt;&gt;"",C218&lt;&gt;"Vacant",C218&lt;&gt;"Manager"),'F-TIV'!P215,"")</f>
        <v/>
      </c>
      <c r="X218" s="1498" t="str">
        <f t="shared" si="87"/>
        <v/>
      </c>
      <c r="Y218" s="1501" t="str">
        <f>IF('F-TIV'!G215&lt;&gt;"",'F-TIV'!G215,"")</f>
        <v/>
      </c>
      <c r="Z218" s="1500" t="str">
        <f>IF(AND(C218&lt;&gt;"",C218&lt;&gt;"Vacant",C218&lt;&gt;"Manager"),'F-TIV'!L215,"")</f>
        <v/>
      </c>
      <c r="AA218" s="1499" t="str">
        <f t="shared" si="88"/>
        <v/>
      </c>
      <c r="AB218" s="1498" t="str">
        <f t="shared" si="89"/>
        <v/>
      </c>
      <c r="AC218" s="1426"/>
      <c r="AD218" s="1426"/>
      <c r="AE218" s="1426"/>
      <c r="AG218" s="1497"/>
      <c r="AL218" s="1496"/>
      <c r="AN218" s="1496"/>
      <c r="AO218" s="1496"/>
      <c r="AP218" s="1496"/>
      <c r="AQ218" s="1496"/>
      <c r="AR218" s="1496"/>
    </row>
    <row r="219" spans="2:44" s="1442" customFormat="1" ht="11.25" customHeight="1">
      <c r="B219" s="1501" t="str">
        <f t="shared" si="75"/>
        <v>0</v>
      </c>
      <c r="C219" s="1506" t="str">
        <f>IF('F-TIV'!D216&lt;&gt;"",'F-TIV'!D216,"")</f>
        <v/>
      </c>
      <c r="D219" s="1501" t="str">
        <f>IF('F-TIV'!C216&lt;&gt;"",'F-TIV'!C216,"")</f>
        <v/>
      </c>
      <c r="E219" s="1502" t="str">
        <f>IF('F-TIV'!Q216&lt;&gt;"",'F-TIV'!Q216,"")</f>
        <v/>
      </c>
      <c r="F219" s="1502" t="str">
        <f>IF('F-TIV'!R216&lt;&gt;"",'F-TIV'!R216,"")</f>
        <v/>
      </c>
      <c r="G219" s="1505" t="str">
        <f>IF('F-TIV'!S216&lt;&gt;"",'F-TIV'!S216,"")</f>
        <v/>
      </c>
      <c r="H219" s="1501" t="str">
        <f>IF('F-TIV'!F216&lt;&gt;"",'F-TIV'!F216,"")</f>
        <v/>
      </c>
      <c r="I219" s="1500" t="str">
        <f>IF(AND(C219&lt;&gt;"",C219&lt;&gt;"Vacant",C219&lt;&gt;"Manager"),IF('F-TIV'!H216&lt;&gt;"",'F-TIV'!H216,""),"")</f>
        <v/>
      </c>
      <c r="J219" s="1500" t="str">
        <f>IF(AND(C219&lt;&gt;"",C219&lt;&gt;"Vacant",C219&lt;&gt;"Manager"),IF('F-TIV'!J216&lt;&gt;0,'F-TIV'!J216,"$0"),"")</f>
        <v/>
      </c>
      <c r="K219" s="1500" t="str">
        <f t="shared" si="76"/>
        <v/>
      </c>
      <c r="L219" s="1504" t="str">
        <f t="shared" si="77"/>
        <v/>
      </c>
      <c r="M219" s="1504" t="str">
        <f t="shared" si="78"/>
        <v/>
      </c>
      <c r="N219" s="1504" t="str">
        <f t="shared" si="79"/>
        <v/>
      </c>
      <c r="O219" s="1504" t="str">
        <f t="shared" si="80"/>
        <v/>
      </c>
      <c r="P219" s="1504" t="str">
        <f t="shared" si="81"/>
        <v/>
      </c>
      <c r="Q219" s="1504" t="str">
        <f t="shared" si="82"/>
        <v/>
      </c>
      <c r="R219" s="1504" t="str">
        <f t="shared" si="83"/>
        <v/>
      </c>
      <c r="S219" s="1504" t="str">
        <f t="shared" si="84"/>
        <v/>
      </c>
      <c r="T219" s="1504" t="str">
        <f t="shared" si="85"/>
        <v/>
      </c>
      <c r="U219" s="1504" t="str">
        <f t="shared" si="86"/>
        <v/>
      </c>
      <c r="V219" s="1503" t="str">
        <f>IF(AND(C219&lt;&gt;"",C219&lt;&gt;"Vacant",C219&lt;&gt;"Manager"),'F-TIV'!O216,"")</f>
        <v/>
      </c>
      <c r="W219" s="1502" t="str">
        <f>IF(AND(C219&lt;&gt;"",C219&lt;&gt;"Vacant",C219&lt;&gt;"Manager"),'F-TIV'!P216,"")</f>
        <v/>
      </c>
      <c r="X219" s="1498" t="str">
        <f t="shared" si="87"/>
        <v/>
      </c>
      <c r="Y219" s="1501" t="str">
        <f>IF('F-TIV'!G216&lt;&gt;"",'F-TIV'!G216,"")</f>
        <v/>
      </c>
      <c r="Z219" s="1500" t="str">
        <f>IF(AND(C219&lt;&gt;"",C219&lt;&gt;"Vacant",C219&lt;&gt;"Manager"),'F-TIV'!L216,"")</f>
        <v/>
      </c>
      <c r="AA219" s="1499" t="str">
        <f t="shared" si="88"/>
        <v/>
      </c>
      <c r="AB219" s="1498" t="str">
        <f t="shared" si="89"/>
        <v/>
      </c>
      <c r="AC219" s="1426"/>
      <c r="AD219" s="1426"/>
      <c r="AE219" s="1426"/>
      <c r="AG219" s="1497"/>
      <c r="AL219" s="1496"/>
      <c r="AN219" s="1496"/>
      <c r="AO219" s="1496"/>
      <c r="AP219" s="1496"/>
      <c r="AQ219" s="1496"/>
      <c r="AR219" s="1496"/>
    </row>
    <row r="220" spans="2:44" s="1442" customFormat="1" ht="11.25" customHeight="1">
      <c r="B220" s="1501" t="str">
        <f t="shared" si="75"/>
        <v>0</v>
      </c>
      <c r="C220" s="1506" t="str">
        <f>IF('F-TIV'!D217&lt;&gt;"",'F-TIV'!D217,"")</f>
        <v/>
      </c>
      <c r="D220" s="1501" t="str">
        <f>IF('F-TIV'!C217&lt;&gt;"",'F-TIV'!C217,"")</f>
        <v/>
      </c>
      <c r="E220" s="1502" t="str">
        <f>IF('F-TIV'!Q217&lt;&gt;"",'F-TIV'!Q217,"")</f>
        <v/>
      </c>
      <c r="F220" s="1502" t="str">
        <f>IF('F-TIV'!R217&lt;&gt;"",'F-TIV'!R217,"")</f>
        <v/>
      </c>
      <c r="G220" s="1505" t="str">
        <f>IF('F-TIV'!S217&lt;&gt;"",'F-TIV'!S217,"")</f>
        <v/>
      </c>
      <c r="H220" s="1501" t="str">
        <f>IF('F-TIV'!F217&lt;&gt;"",'F-TIV'!F217,"")</f>
        <v/>
      </c>
      <c r="I220" s="1500" t="str">
        <f>IF(AND(C220&lt;&gt;"",C220&lt;&gt;"Vacant",C220&lt;&gt;"Manager"),IF('F-TIV'!H217&lt;&gt;"",'F-TIV'!H217,""),"")</f>
        <v/>
      </c>
      <c r="J220" s="1500" t="str">
        <f>IF(AND(C220&lt;&gt;"",C220&lt;&gt;"Vacant",C220&lt;&gt;"Manager"),IF('F-TIV'!J217&lt;&gt;0,'F-TIV'!J217,"$0"),"")</f>
        <v/>
      </c>
      <c r="K220" s="1500" t="str">
        <f t="shared" si="76"/>
        <v/>
      </c>
      <c r="L220" s="1504" t="str">
        <f t="shared" si="77"/>
        <v/>
      </c>
      <c r="M220" s="1504" t="str">
        <f t="shared" si="78"/>
        <v/>
      </c>
      <c r="N220" s="1504" t="str">
        <f t="shared" si="79"/>
        <v/>
      </c>
      <c r="O220" s="1504" t="str">
        <f t="shared" si="80"/>
        <v/>
      </c>
      <c r="P220" s="1504" t="str">
        <f t="shared" si="81"/>
        <v/>
      </c>
      <c r="Q220" s="1504" t="str">
        <f t="shared" si="82"/>
        <v/>
      </c>
      <c r="R220" s="1504" t="str">
        <f t="shared" si="83"/>
        <v/>
      </c>
      <c r="S220" s="1504" t="str">
        <f t="shared" si="84"/>
        <v/>
      </c>
      <c r="T220" s="1504" t="str">
        <f t="shared" si="85"/>
        <v/>
      </c>
      <c r="U220" s="1504" t="str">
        <f t="shared" si="86"/>
        <v/>
      </c>
      <c r="V220" s="1503" t="str">
        <f>IF(AND(C220&lt;&gt;"",C220&lt;&gt;"Vacant",C220&lt;&gt;"Manager"),'F-TIV'!O217,"")</f>
        <v/>
      </c>
      <c r="W220" s="1502" t="str">
        <f>IF(AND(C220&lt;&gt;"",C220&lt;&gt;"Vacant",C220&lt;&gt;"Manager"),'F-TIV'!P217,"")</f>
        <v/>
      </c>
      <c r="X220" s="1498" t="str">
        <f t="shared" si="87"/>
        <v/>
      </c>
      <c r="Y220" s="1501" t="str">
        <f>IF('F-TIV'!G217&lt;&gt;"",'F-TIV'!G217,"")</f>
        <v/>
      </c>
      <c r="Z220" s="1500" t="str">
        <f>IF(AND(C220&lt;&gt;"",C220&lt;&gt;"Vacant",C220&lt;&gt;"Manager"),'F-TIV'!L217,"")</f>
        <v/>
      </c>
      <c r="AA220" s="1499" t="str">
        <f t="shared" si="88"/>
        <v/>
      </c>
      <c r="AB220" s="1498" t="str">
        <f t="shared" si="89"/>
        <v/>
      </c>
      <c r="AC220" s="1426"/>
      <c r="AD220" s="1426"/>
      <c r="AE220" s="1426"/>
      <c r="AG220" s="1497"/>
      <c r="AL220" s="1496"/>
      <c r="AN220" s="1496"/>
      <c r="AO220" s="1496"/>
      <c r="AP220" s="1496"/>
      <c r="AQ220" s="1496"/>
      <c r="AR220" s="1496"/>
    </row>
    <row r="221" spans="2:44" s="1442" customFormat="1" ht="11.25" customHeight="1">
      <c r="B221" s="1501" t="str">
        <f t="shared" si="75"/>
        <v>0</v>
      </c>
      <c r="C221" s="1506" t="str">
        <f>IF('F-TIV'!D218&lt;&gt;"",'F-TIV'!D218,"")</f>
        <v/>
      </c>
      <c r="D221" s="1501" t="str">
        <f>IF('F-TIV'!C218&lt;&gt;"",'F-TIV'!C218,"")</f>
        <v/>
      </c>
      <c r="E221" s="1502" t="str">
        <f>IF('F-TIV'!Q218&lt;&gt;"",'F-TIV'!Q218,"")</f>
        <v/>
      </c>
      <c r="F221" s="1502" t="str">
        <f>IF('F-TIV'!R218&lt;&gt;"",'F-TIV'!R218,"")</f>
        <v/>
      </c>
      <c r="G221" s="1505" t="str">
        <f>IF('F-TIV'!S218&lt;&gt;"",'F-TIV'!S218,"")</f>
        <v/>
      </c>
      <c r="H221" s="1501" t="str">
        <f>IF('F-TIV'!F218&lt;&gt;"",'F-TIV'!F218,"")</f>
        <v/>
      </c>
      <c r="I221" s="1500" t="str">
        <f>IF(AND(C221&lt;&gt;"",C221&lt;&gt;"Vacant",C221&lt;&gt;"Manager"),IF('F-TIV'!H218&lt;&gt;"",'F-TIV'!H218,""),"")</f>
        <v/>
      </c>
      <c r="J221" s="1500" t="str">
        <f>IF(AND(C221&lt;&gt;"",C221&lt;&gt;"Vacant",C221&lt;&gt;"Manager"),IF('F-TIV'!J218&lt;&gt;0,'F-TIV'!J218,"$0"),"")</f>
        <v/>
      </c>
      <c r="K221" s="1500" t="str">
        <f t="shared" si="76"/>
        <v/>
      </c>
      <c r="L221" s="1504" t="str">
        <f t="shared" si="77"/>
        <v/>
      </c>
      <c r="M221" s="1504" t="str">
        <f t="shared" si="78"/>
        <v/>
      </c>
      <c r="N221" s="1504" t="str">
        <f t="shared" si="79"/>
        <v/>
      </c>
      <c r="O221" s="1504" t="str">
        <f t="shared" si="80"/>
        <v/>
      </c>
      <c r="P221" s="1504" t="str">
        <f t="shared" si="81"/>
        <v/>
      </c>
      <c r="Q221" s="1504" t="str">
        <f t="shared" si="82"/>
        <v/>
      </c>
      <c r="R221" s="1504" t="str">
        <f t="shared" si="83"/>
        <v/>
      </c>
      <c r="S221" s="1504" t="str">
        <f t="shared" si="84"/>
        <v/>
      </c>
      <c r="T221" s="1504" t="str">
        <f t="shared" si="85"/>
        <v/>
      </c>
      <c r="U221" s="1504" t="str">
        <f t="shared" si="86"/>
        <v/>
      </c>
      <c r="V221" s="1503" t="str">
        <f>IF(AND(C221&lt;&gt;"",C221&lt;&gt;"Vacant",C221&lt;&gt;"Manager"),'F-TIV'!O218,"")</f>
        <v/>
      </c>
      <c r="W221" s="1502" t="str">
        <f>IF(AND(C221&lt;&gt;"",C221&lt;&gt;"Vacant",C221&lt;&gt;"Manager"),'F-TIV'!P218,"")</f>
        <v/>
      </c>
      <c r="X221" s="1498" t="str">
        <f t="shared" si="87"/>
        <v/>
      </c>
      <c r="Y221" s="1501" t="str">
        <f>IF('F-TIV'!G218&lt;&gt;"",'F-TIV'!G218,"")</f>
        <v/>
      </c>
      <c r="Z221" s="1500" t="str">
        <f>IF(AND(C221&lt;&gt;"",C221&lt;&gt;"Vacant",C221&lt;&gt;"Manager"),'F-TIV'!L218,"")</f>
        <v/>
      </c>
      <c r="AA221" s="1499" t="str">
        <f t="shared" si="88"/>
        <v/>
      </c>
      <c r="AB221" s="1498" t="str">
        <f t="shared" si="89"/>
        <v/>
      </c>
      <c r="AC221" s="1426"/>
      <c r="AD221" s="1426"/>
      <c r="AE221" s="1426"/>
      <c r="AG221" s="1497"/>
      <c r="AL221" s="1496"/>
      <c r="AN221" s="1496"/>
      <c r="AO221" s="1496"/>
      <c r="AP221" s="1496"/>
      <c r="AQ221" s="1496"/>
      <c r="AR221" s="1496"/>
    </row>
    <row r="222" spans="2:44" s="1442" customFormat="1" ht="11.25" customHeight="1">
      <c r="B222" s="1501" t="str">
        <f t="shared" ref="B222:B229" si="90">IF((C222&lt;&gt;""),"1","0")</f>
        <v>0</v>
      </c>
      <c r="C222" s="1506" t="str">
        <f>IF('F-TIV'!D219&lt;&gt;"",'F-TIV'!D219,"")</f>
        <v/>
      </c>
      <c r="D222" s="1501" t="str">
        <f>IF('F-TIV'!C219&lt;&gt;"",'F-TIV'!C219,"")</f>
        <v/>
      </c>
      <c r="E222" s="1502" t="str">
        <f>IF('F-TIV'!Q219&lt;&gt;"",'F-TIV'!Q219,"")</f>
        <v/>
      </c>
      <c r="F222" s="1502" t="str">
        <f>IF('F-TIV'!R219&lt;&gt;"",'F-TIV'!R219,"")</f>
        <v/>
      </c>
      <c r="G222" s="1505" t="str">
        <f>IF('F-TIV'!S219&lt;&gt;"",'F-TIV'!S219,"")</f>
        <v/>
      </c>
      <c r="H222" s="1501" t="str">
        <f>IF('F-TIV'!F219&lt;&gt;"",'F-TIV'!F219,"")</f>
        <v/>
      </c>
      <c r="I222" s="1500" t="str">
        <f>IF(AND(C222&lt;&gt;"",C222&lt;&gt;"Vacant",C222&lt;&gt;"Manager"),IF('F-TIV'!H219&lt;&gt;"",'F-TIV'!H219,""),"")</f>
        <v/>
      </c>
      <c r="J222" s="1500" t="str">
        <f>IF(AND(C222&lt;&gt;"",C222&lt;&gt;"Vacant",C222&lt;&gt;"Manager"),IF('F-TIV'!J219&lt;&gt;0,'F-TIV'!J219,"$0"),"")</f>
        <v/>
      </c>
      <c r="K222" s="1500" t="str">
        <f t="shared" ref="K222:K229" si="91">IFERROR(I222-J222,"")</f>
        <v/>
      </c>
      <c r="L222" s="1504" t="str">
        <f t="shared" ref="L222:L229" si="92">IF(AND(C222&lt;&gt;"Vacant",C222&lt;&gt;"Manager",C222&lt;&gt;""),IF(C222="","",IF(H222="Studio",_VLI1,IF(H222=1,_VLI2,IF(H222=2,_VLI3,IF(H222=3,_VLI5,IF(H222=4,_VLI6,IF(H222=5,_VLI7,_VLI8))))))),"")</f>
        <v/>
      </c>
      <c r="M222" s="1504" t="str">
        <f t="shared" ref="M222:M229" si="93">IF(AND(C222&lt;&gt;"Vacant",C222&lt;&gt;"",C222&lt;&gt;"Manager"),(IF(L222&gt;=K222,"Yes",IF(L222&lt;K222,"No"))),"")</f>
        <v/>
      </c>
      <c r="N222" s="1504" t="str">
        <f t="shared" ref="N222:N229" si="94">IF(AND(C222&lt;&gt;"Vacant",C222&lt;&gt;"",C222&lt;&gt;"Manager"),IF(H222="","",IF(H222="Studio",RENT1,IF(H222=1,RENT2,IF(H222=2,RENT3,IF(H222=3,RENT5,IF(H222=4,RENT6,IF(H222=5,RENT7,RENT8))))))),"")</f>
        <v/>
      </c>
      <c r="O222" s="1504" t="str">
        <f t="shared" ref="O222:O229" si="95">IF(AND(C222&lt;&gt;"Vacant",C222&lt;&gt;"",C222&lt;&gt;"Manager"),(IF(N222&gt;=K222,"Yes",IF(N222&lt;K222,"No"))),"")</f>
        <v/>
      </c>
      <c r="P222" s="1504" t="str">
        <f t="shared" ref="P222:P229" si="96">IF(AND(C222&lt;&gt;"Vacant", C222&lt;&gt;"Manager",C222&lt;&gt;""),IF(H222="","",IF(H222="Studio",RENTA1,IF(H222=1,RENTA2,IF(H222=2,RENTA3,IF(H222=3,RENTA5,IF(H222=4,RENTA6,IF(H222=5,RENTA7,RENTA8))))))),"")</f>
        <v/>
      </c>
      <c r="Q222" s="1504" t="str">
        <f t="shared" ref="Q222:Q229" si="97">IF(AND(C222&lt;&gt;"Vacant",C222&lt;&gt;"",C222&lt;&gt;"Manager"),(IF(P222&gt;=K222,"Yes",IF(P222&lt;K222,"No"))),"")</f>
        <v/>
      </c>
      <c r="R222" s="1504" t="str">
        <f t="shared" ref="R222:R229" si="98">IF(AND(C222&lt;&gt;"Vacant",C222&lt;&gt;"Manager",C222&lt;&gt;""),IF(H222="","",IF(H222="Studio",$F$16,IF(H222=1,$G$16,IF(H222=2,$H$16,IF(H222=3,$J$16,IF(H222=4,$K$16,IF(H222=5,$L$16,$M$16))))))),"")</f>
        <v/>
      </c>
      <c r="S222" s="1504" t="str">
        <f t="shared" ref="S222:S229" si="99">IF(AND(C222&lt;&gt;"Vacant",C222&lt;&gt;"",C222&lt;&gt;"Manager"),(IF(R222&gt;=K222,"Yes",IF(R222&lt;K222,"No"))),"")</f>
        <v/>
      </c>
      <c r="T222" s="1504" t="str">
        <f t="shared" ref="T222:T229" si="100">IF(AND(C222&lt;&gt;"Vacant",C222&lt;&gt;"Manager",C222&lt;&gt;""),IF(C222="","",IF(H222="Studio",$F$17,IF(H222=1,$G$17,IF(H222=2,$H$17,IF(H222=3,$J$17,IF(H222=4,$K$17,IF(H222=5,$L$17,$M$17))))))),"")</f>
        <v/>
      </c>
      <c r="U222" s="1504" t="str">
        <f t="shared" ref="U222:U229" si="101">IF(AND(C222&lt;&gt;"Vacant",C222&lt;&gt;"",C222&lt;&gt;"Manager"),(IF(T222&gt;=K222,"Yes",IF(T222&lt;K222,"No"))),"")</f>
        <v/>
      </c>
      <c r="V222" s="1503" t="str">
        <f>IF(AND(C222&lt;&gt;"",C222&lt;&gt;"Vacant",C222&lt;&gt;"Manager"),'F-TIV'!O219,"")</f>
        <v/>
      </c>
      <c r="W222" s="1502" t="str">
        <f>IF(AND(C222&lt;&gt;"",C222&lt;&gt;"Vacant",C222&lt;&gt;"Manager"),'F-TIV'!P219,"")</f>
        <v/>
      </c>
      <c r="X222" s="1498" t="str">
        <f t="shared" ref="X222:X229" si="102">IFERROR(IF(AND(C222&lt;&gt;"",C222&lt;&gt;"Vacant",C222&lt;&gt;"Manager",Z222&gt;=0),K222*12/Z222,""),"0.0%")</f>
        <v/>
      </c>
      <c r="Y222" s="1501" t="str">
        <f>IF('F-TIV'!G219&lt;&gt;"",'F-TIV'!G219,"")</f>
        <v/>
      </c>
      <c r="Z222" s="1500" t="str">
        <f>IF(AND(C222&lt;&gt;"",C222&lt;&gt;"Vacant",C222&lt;&gt;"Manager"),'F-TIV'!L219,"")</f>
        <v/>
      </c>
      <c r="AA222" s="1499" t="str">
        <f t="shared" ref="AA222:AA229" si="103">IF(AND(C222&lt;&gt;"Vacant",C222&lt;&gt;"",C222&lt;&gt;"Manager"),IF(C222=0,"",IF(Y222=1,_PER1,IF(Y222=2,_PER2,IF(Y222=3,_PER3,IF(Y222=4,_PER4,IF(Y222=5,_PER5,IF(Y222=6,_PER6,IF(Y222=7,_PER7,_PER8)))))))),"")</f>
        <v/>
      </c>
      <c r="AB222" s="1498" t="str">
        <f t="shared" ref="AB222:AB229" si="104">IFERROR(IF(AND(C222&lt;&gt;"",C222&lt;&gt;"Vacant",C222&lt;&gt;"Manager"),ROUNDDOWN(Z222/AA222,2),""),"0.0%")</f>
        <v/>
      </c>
      <c r="AC222" s="1426"/>
      <c r="AD222" s="1426"/>
      <c r="AE222" s="1426"/>
      <c r="AF222" s="1507"/>
      <c r="AG222" s="1497"/>
      <c r="AL222" s="1496"/>
      <c r="AN222" s="1496"/>
      <c r="AO222" s="1496"/>
      <c r="AP222" s="1496"/>
      <c r="AQ222" s="1496"/>
      <c r="AR222" s="1496"/>
    </row>
    <row r="223" spans="2:44" s="1442" customFormat="1" ht="11.25" customHeight="1">
      <c r="B223" s="1501" t="str">
        <f t="shared" si="90"/>
        <v>0</v>
      </c>
      <c r="C223" s="1506" t="str">
        <f>IF('F-TIV'!D220&lt;&gt;"",'F-TIV'!D220,"")</f>
        <v/>
      </c>
      <c r="D223" s="1501" t="str">
        <f>IF('F-TIV'!C220&lt;&gt;"",'F-TIV'!C220,"")</f>
        <v/>
      </c>
      <c r="E223" s="1502" t="str">
        <f>IF('F-TIV'!Q220&lt;&gt;"",'F-TIV'!Q220,"")</f>
        <v/>
      </c>
      <c r="F223" s="1502" t="str">
        <f>IF('F-TIV'!R220&lt;&gt;"",'F-TIV'!R220,"")</f>
        <v/>
      </c>
      <c r="G223" s="1505" t="str">
        <f>IF('F-TIV'!S220&lt;&gt;"",'F-TIV'!S220,"")</f>
        <v/>
      </c>
      <c r="H223" s="1501" t="str">
        <f>IF('F-TIV'!F220&lt;&gt;"",'F-TIV'!F220,"")</f>
        <v/>
      </c>
      <c r="I223" s="1500" t="str">
        <f>IF(AND(C223&lt;&gt;"",C223&lt;&gt;"Vacant",C223&lt;&gt;"Manager"),IF('F-TIV'!H220&lt;&gt;"",'F-TIV'!H220,""),"")</f>
        <v/>
      </c>
      <c r="J223" s="1500" t="str">
        <f>IF(AND(C223&lt;&gt;"",C223&lt;&gt;"Vacant",C223&lt;&gt;"Manager"),IF('F-TIV'!J220&lt;&gt;0,'F-TIV'!J220,"$0"),"")</f>
        <v/>
      </c>
      <c r="K223" s="1500" t="str">
        <f t="shared" si="91"/>
        <v/>
      </c>
      <c r="L223" s="1504" t="str">
        <f t="shared" si="92"/>
        <v/>
      </c>
      <c r="M223" s="1504" t="str">
        <f t="shared" si="93"/>
        <v/>
      </c>
      <c r="N223" s="1504" t="str">
        <f t="shared" si="94"/>
        <v/>
      </c>
      <c r="O223" s="1504" t="str">
        <f t="shared" si="95"/>
        <v/>
      </c>
      <c r="P223" s="1504" t="str">
        <f t="shared" si="96"/>
        <v/>
      </c>
      <c r="Q223" s="1504" t="str">
        <f t="shared" si="97"/>
        <v/>
      </c>
      <c r="R223" s="1504" t="str">
        <f t="shared" si="98"/>
        <v/>
      </c>
      <c r="S223" s="1504" t="str">
        <f t="shared" si="99"/>
        <v/>
      </c>
      <c r="T223" s="1504" t="str">
        <f t="shared" si="100"/>
        <v/>
      </c>
      <c r="U223" s="1504" t="str">
        <f t="shared" si="101"/>
        <v/>
      </c>
      <c r="V223" s="1503" t="str">
        <f>IF(AND(C223&lt;&gt;"",C223&lt;&gt;"Vacant",C223&lt;&gt;"Manager"),'F-TIV'!O220,"")</f>
        <v/>
      </c>
      <c r="W223" s="1502" t="str">
        <f>IF(AND(C223&lt;&gt;"",C223&lt;&gt;"Vacant",C223&lt;&gt;"Manager"),'F-TIV'!P220,"")</f>
        <v/>
      </c>
      <c r="X223" s="1498" t="str">
        <f t="shared" si="102"/>
        <v/>
      </c>
      <c r="Y223" s="1501" t="str">
        <f>IF('F-TIV'!G220&lt;&gt;"",'F-TIV'!G220,"")</f>
        <v/>
      </c>
      <c r="Z223" s="1500" t="str">
        <f>IF(AND(C223&lt;&gt;"",C223&lt;&gt;"Vacant",C223&lt;&gt;"Manager"),'F-TIV'!L220,"")</f>
        <v/>
      </c>
      <c r="AA223" s="1499" t="str">
        <f t="shared" si="103"/>
        <v/>
      </c>
      <c r="AB223" s="1498" t="str">
        <f t="shared" si="104"/>
        <v/>
      </c>
      <c r="AC223" s="1426"/>
      <c r="AD223" s="1426"/>
      <c r="AE223" s="1426"/>
      <c r="AG223" s="1497"/>
      <c r="AL223" s="1496"/>
      <c r="AN223" s="1496"/>
      <c r="AO223" s="1496"/>
      <c r="AP223" s="1496"/>
      <c r="AQ223" s="1496"/>
      <c r="AR223" s="1496"/>
    </row>
    <row r="224" spans="2:44" s="1442" customFormat="1" ht="11.25" customHeight="1">
      <c r="B224" s="1501" t="str">
        <f t="shared" si="90"/>
        <v>0</v>
      </c>
      <c r="C224" s="1506" t="str">
        <f>IF('F-TIV'!D221&lt;&gt;"",'F-TIV'!D221,"")</f>
        <v/>
      </c>
      <c r="D224" s="1501" t="str">
        <f>IF('F-TIV'!C221&lt;&gt;"",'F-TIV'!C221,"")</f>
        <v/>
      </c>
      <c r="E224" s="1502" t="str">
        <f>IF('F-TIV'!Q221&lt;&gt;"",'F-TIV'!Q221,"")</f>
        <v/>
      </c>
      <c r="F224" s="1502" t="str">
        <f>IF('F-TIV'!R221&lt;&gt;"",'F-TIV'!R221,"")</f>
        <v/>
      </c>
      <c r="G224" s="1505" t="str">
        <f>IF('F-TIV'!S221&lt;&gt;"",'F-TIV'!S221,"")</f>
        <v/>
      </c>
      <c r="H224" s="1501" t="str">
        <f>IF('F-TIV'!F221&lt;&gt;"",'F-TIV'!F221,"")</f>
        <v/>
      </c>
      <c r="I224" s="1500" t="str">
        <f>IF(AND(C224&lt;&gt;"",C224&lt;&gt;"Vacant",C224&lt;&gt;"Manager"),IF('F-TIV'!H221&lt;&gt;"",'F-TIV'!H221,""),"")</f>
        <v/>
      </c>
      <c r="J224" s="1500" t="str">
        <f>IF(AND(C224&lt;&gt;"",C224&lt;&gt;"Vacant",C224&lt;&gt;"Manager"),IF('F-TIV'!J221&lt;&gt;0,'F-TIV'!J221,"$0"),"")</f>
        <v/>
      </c>
      <c r="K224" s="1500" t="str">
        <f t="shared" si="91"/>
        <v/>
      </c>
      <c r="L224" s="1504" t="str">
        <f t="shared" si="92"/>
        <v/>
      </c>
      <c r="M224" s="1504" t="str">
        <f t="shared" si="93"/>
        <v/>
      </c>
      <c r="N224" s="1504" t="str">
        <f t="shared" si="94"/>
        <v/>
      </c>
      <c r="O224" s="1504" t="str">
        <f t="shared" si="95"/>
        <v/>
      </c>
      <c r="P224" s="1504" t="str">
        <f t="shared" si="96"/>
        <v/>
      </c>
      <c r="Q224" s="1504" t="str">
        <f t="shared" si="97"/>
        <v/>
      </c>
      <c r="R224" s="1504" t="str">
        <f t="shared" si="98"/>
        <v/>
      </c>
      <c r="S224" s="1504" t="str">
        <f t="shared" si="99"/>
        <v/>
      </c>
      <c r="T224" s="1504" t="str">
        <f t="shared" si="100"/>
        <v/>
      </c>
      <c r="U224" s="1504" t="str">
        <f t="shared" si="101"/>
        <v/>
      </c>
      <c r="V224" s="1503" t="str">
        <f>IF(AND(C224&lt;&gt;"",C224&lt;&gt;"Vacant",C224&lt;&gt;"Manager"),'F-TIV'!O221,"")</f>
        <v/>
      </c>
      <c r="W224" s="1502" t="str">
        <f>IF(AND(C224&lt;&gt;"",C224&lt;&gt;"Vacant",C224&lt;&gt;"Manager"),'F-TIV'!P221,"")</f>
        <v/>
      </c>
      <c r="X224" s="1498" t="str">
        <f t="shared" si="102"/>
        <v/>
      </c>
      <c r="Y224" s="1501" t="str">
        <f>IF('F-TIV'!G221&lt;&gt;"",'F-TIV'!G221,"")</f>
        <v/>
      </c>
      <c r="Z224" s="1500" t="str">
        <f>IF(AND(C224&lt;&gt;"",C224&lt;&gt;"Vacant",C224&lt;&gt;"Manager"),'F-TIV'!L221,"")</f>
        <v/>
      </c>
      <c r="AA224" s="1499" t="str">
        <f t="shared" si="103"/>
        <v/>
      </c>
      <c r="AB224" s="1498" t="str">
        <f t="shared" si="104"/>
        <v/>
      </c>
      <c r="AC224" s="1426"/>
      <c r="AD224" s="1426"/>
      <c r="AE224" s="1426"/>
      <c r="AG224" s="1497"/>
      <c r="AL224" s="1496"/>
      <c r="AN224" s="1496"/>
      <c r="AO224" s="1496"/>
      <c r="AP224" s="1496"/>
      <c r="AQ224" s="1496"/>
      <c r="AR224" s="1496"/>
    </row>
    <row r="225" spans="2:45" s="1442" customFormat="1" ht="11.25" customHeight="1">
      <c r="B225" s="1501" t="str">
        <f t="shared" si="90"/>
        <v>0</v>
      </c>
      <c r="C225" s="1506" t="str">
        <f>IF('F-TIV'!D222&lt;&gt;"",'F-TIV'!D222,"")</f>
        <v/>
      </c>
      <c r="D225" s="1501" t="str">
        <f>IF('F-TIV'!C222&lt;&gt;"",'F-TIV'!C222,"")</f>
        <v/>
      </c>
      <c r="E225" s="1502" t="str">
        <f>IF('F-TIV'!Q222&lt;&gt;"",'F-TIV'!Q222,"")</f>
        <v/>
      </c>
      <c r="F225" s="1502" t="str">
        <f>IF('F-TIV'!R222&lt;&gt;"",'F-TIV'!R222,"")</f>
        <v/>
      </c>
      <c r="G225" s="1505" t="str">
        <f>IF('F-TIV'!S222&lt;&gt;"",'F-TIV'!S222,"")</f>
        <v/>
      </c>
      <c r="H225" s="1501" t="str">
        <f>IF('F-TIV'!F222&lt;&gt;"",'F-TIV'!F222,"")</f>
        <v/>
      </c>
      <c r="I225" s="1500" t="str">
        <f>IF(AND(C225&lt;&gt;"",C225&lt;&gt;"Vacant",C225&lt;&gt;"Manager"),IF('F-TIV'!H222&lt;&gt;"",'F-TIV'!H222,""),"")</f>
        <v/>
      </c>
      <c r="J225" s="1500" t="str">
        <f>IF(AND(C225&lt;&gt;"",C225&lt;&gt;"Vacant",C225&lt;&gt;"Manager"),IF('F-TIV'!J222&lt;&gt;0,'F-TIV'!J222,"$0"),"")</f>
        <v/>
      </c>
      <c r="K225" s="1500" t="str">
        <f t="shared" si="91"/>
        <v/>
      </c>
      <c r="L225" s="1504" t="str">
        <f t="shared" si="92"/>
        <v/>
      </c>
      <c r="M225" s="1504" t="str">
        <f t="shared" si="93"/>
        <v/>
      </c>
      <c r="N225" s="1504" t="str">
        <f t="shared" si="94"/>
        <v/>
      </c>
      <c r="O225" s="1504" t="str">
        <f t="shared" si="95"/>
        <v/>
      </c>
      <c r="P225" s="1504" t="str">
        <f t="shared" si="96"/>
        <v/>
      </c>
      <c r="Q225" s="1504" t="str">
        <f t="shared" si="97"/>
        <v/>
      </c>
      <c r="R225" s="1504" t="str">
        <f t="shared" si="98"/>
        <v/>
      </c>
      <c r="S225" s="1504" t="str">
        <f t="shared" si="99"/>
        <v/>
      </c>
      <c r="T225" s="1504" t="str">
        <f t="shared" si="100"/>
        <v/>
      </c>
      <c r="U225" s="1504" t="str">
        <f t="shared" si="101"/>
        <v/>
      </c>
      <c r="V225" s="1503" t="str">
        <f>IF(AND(C225&lt;&gt;"",C225&lt;&gt;"Vacant",C225&lt;&gt;"Manager"),'F-TIV'!O222,"")</f>
        <v/>
      </c>
      <c r="W225" s="1502" t="str">
        <f>IF(AND(C225&lt;&gt;"",C225&lt;&gt;"Vacant",C225&lt;&gt;"Manager"),'F-TIV'!P222,"")</f>
        <v/>
      </c>
      <c r="X225" s="1498" t="str">
        <f t="shared" si="102"/>
        <v/>
      </c>
      <c r="Y225" s="1501" t="str">
        <f>IF('F-TIV'!G222&lt;&gt;"",'F-TIV'!G222,"")</f>
        <v/>
      </c>
      <c r="Z225" s="1500" t="str">
        <f>IF(AND(C225&lt;&gt;"",C225&lt;&gt;"Vacant",C225&lt;&gt;"Manager"),'F-TIV'!L222,"")</f>
        <v/>
      </c>
      <c r="AA225" s="1499" t="str">
        <f t="shared" si="103"/>
        <v/>
      </c>
      <c r="AB225" s="1498" t="str">
        <f t="shared" si="104"/>
        <v/>
      </c>
      <c r="AC225" s="1426"/>
      <c r="AD225" s="1426"/>
      <c r="AE225" s="1426"/>
      <c r="AG225" s="1497"/>
      <c r="AL225" s="1496"/>
      <c r="AN225" s="1496"/>
      <c r="AO225" s="1496"/>
      <c r="AP225" s="1496"/>
      <c r="AQ225" s="1496"/>
      <c r="AR225" s="1496"/>
    </row>
    <row r="226" spans="2:45" s="1442" customFormat="1" ht="11.25" customHeight="1">
      <c r="B226" s="1501" t="str">
        <f t="shared" si="90"/>
        <v>0</v>
      </c>
      <c r="C226" s="1506" t="str">
        <f>IF('F-TIV'!D223&lt;&gt;"",'F-TIV'!D223,"")</f>
        <v/>
      </c>
      <c r="D226" s="1501" t="str">
        <f>IF('F-TIV'!C223&lt;&gt;"",'F-TIV'!C223,"")</f>
        <v/>
      </c>
      <c r="E226" s="1502" t="str">
        <f>IF('F-TIV'!Q223&lt;&gt;"",'F-TIV'!Q223,"")</f>
        <v/>
      </c>
      <c r="F226" s="1502" t="str">
        <f>IF('F-TIV'!R223&lt;&gt;"",'F-TIV'!R223,"")</f>
        <v/>
      </c>
      <c r="G226" s="1505" t="str">
        <f>IF('F-TIV'!S223&lt;&gt;"",'F-TIV'!S223,"")</f>
        <v/>
      </c>
      <c r="H226" s="1501" t="str">
        <f>IF('F-TIV'!F223&lt;&gt;"",'F-TIV'!F223,"")</f>
        <v/>
      </c>
      <c r="I226" s="1500" t="str">
        <f>IF(AND(C226&lt;&gt;"",C226&lt;&gt;"Vacant",C226&lt;&gt;"Manager"),IF('F-TIV'!H223&lt;&gt;"",'F-TIV'!H223,""),"")</f>
        <v/>
      </c>
      <c r="J226" s="1500" t="str">
        <f>IF(AND(C226&lt;&gt;"",C226&lt;&gt;"Vacant",C226&lt;&gt;"Manager"),IF('F-TIV'!J223&lt;&gt;0,'F-TIV'!J223,"$0"),"")</f>
        <v/>
      </c>
      <c r="K226" s="1500" t="str">
        <f t="shared" si="91"/>
        <v/>
      </c>
      <c r="L226" s="1504" t="str">
        <f t="shared" si="92"/>
        <v/>
      </c>
      <c r="M226" s="1504" t="str">
        <f t="shared" si="93"/>
        <v/>
      </c>
      <c r="N226" s="1504" t="str">
        <f t="shared" si="94"/>
        <v/>
      </c>
      <c r="O226" s="1504" t="str">
        <f t="shared" si="95"/>
        <v/>
      </c>
      <c r="P226" s="1504" t="str">
        <f t="shared" si="96"/>
        <v/>
      </c>
      <c r="Q226" s="1504" t="str">
        <f t="shared" si="97"/>
        <v/>
      </c>
      <c r="R226" s="1504" t="str">
        <f t="shared" si="98"/>
        <v/>
      </c>
      <c r="S226" s="1504" t="str">
        <f t="shared" si="99"/>
        <v/>
      </c>
      <c r="T226" s="1504" t="str">
        <f t="shared" si="100"/>
        <v/>
      </c>
      <c r="U226" s="1504" t="str">
        <f t="shared" si="101"/>
        <v/>
      </c>
      <c r="V226" s="1503" t="str">
        <f>IF(AND(C226&lt;&gt;"",C226&lt;&gt;"Vacant",C226&lt;&gt;"Manager"),'F-TIV'!O223,"")</f>
        <v/>
      </c>
      <c r="W226" s="1502" t="str">
        <f>IF(AND(C226&lt;&gt;"",C226&lt;&gt;"Vacant",C226&lt;&gt;"Manager"),'F-TIV'!P223,"")</f>
        <v/>
      </c>
      <c r="X226" s="1498" t="str">
        <f t="shared" si="102"/>
        <v/>
      </c>
      <c r="Y226" s="1501" t="str">
        <f>IF('F-TIV'!G223&lt;&gt;"",'F-TIV'!G223,"")</f>
        <v/>
      </c>
      <c r="Z226" s="1500" t="str">
        <f>IF(AND(C226&lt;&gt;"",C226&lt;&gt;"Vacant",C226&lt;&gt;"Manager"),'F-TIV'!L223,"")</f>
        <v/>
      </c>
      <c r="AA226" s="1499" t="str">
        <f t="shared" si="103"/>
        <v/>
      </c>
      <c r="AB226" s="1498" t="str">
        <f t="shared" si="104"/>
        <v/>
      </c>
      <c r="AC226" s="1426"/>
      <c r="AD226" s="1426"/>
      <c r="AE226" s="1426"/>
      <c r="AG226" s="1497"/>
      <c r="AL226" s="1496"/>
      <c r="AN226" s="1496"/>
      <c r="AO226" s="1496"/>
      <c r="AP226" s="1496"/>
      <c r="AQ226" s="1496"/>
      <c r="AR226" s="1496"/>
    </row>
    <row r="227" spans="2:45" s="1442" customFormat="1" ht="11.25" customHeight="1">
      <c r="B227" s="1501" t="str">
        <f t="shared" si="90"/>
        <v>0</v>
      </c>
      <c r="C227" s="1506" t="str">
        <f>IF('F-TIV'!D224&lt;&gt;"",'F-TIV'!D224,"")</f>
        <v/>
      </c>
      <c r="D227" s="1501" t="str">
        <f>IF('F-TIV'!C224&lt;&gt;"",'F-TIV'!C224,"")</f>
        <v/>
      </c>
      <c r="E227" s="1502" t="str">
        <f>IF('F-TIV'!Q224&lt;&gt;"",'F-TIV'!Q224,"")</f>
        <v/>
      </c>
      <c r="F227" s="1502" t="str">
        <f>IF('F-TIV'!R224&lt;&gt;"",'F-TIV'!R224,"")</f>
        <v/>
      </c>
      <c r="G227" s="1505" t="str">
        <f>IF('F-TIV'!S224&lt;&gt;"",'F-TIV'!S224,"")</f>
        <v/>
      </c>
      <c r="H227" s="1501" t="str">
        <f>IF('F-TIV'!F224&lt;&gt;"",'F-TIV'!F224,"")</f>
        <v/>
      </c>
      <c r="I227" s="1500" t="str">
        <f>IF(AND(C227&lt;&gt;"",C227&lt;&gt;"Vacant",C227&lt;&gt;"Manager"),IF('F-TIV'!H224&lt;&gt;"",'F-TIV'!H224,""),"")</f>
        <v/>
      </c>
      <c r="J227" s="1500" t="str">
        <f>IF(AND(C227&lt;&gt;"",C227&lt;&gt;"Vacant",C227&lt;&gt;"Manager"),IF('F-TIV'!J224&lt;&gt;0,'F-TIV'!J224,"$0"),"")</f>
        <v/>
      </c>
      <c r="K227" s="1500" t="str">
        <f t="shared" si="91"/>
        <v/>
      </c>
      <c r="L227" s="1504" t="str">
        <f t="shared" si="92"/>
        <v/>
      </c>
      <c r="M227" s="1504" t="str">
        <f t="shared" si="93"/>
        <v/>
      </c>
      <c r="N227" s="1504" t="str">
        <f t="shared" si="94"/>
        <v/>
      </c>
      <c r="O227" s="1504" t="str">
        <f t="shared" si="95"/>
        <v/>
      </c>
      <c r="P227" s="1504" t="str">
        <f t="shared" si="96"/>
        <v/>
      </c>
      <c r="Q227" s="1504" t="str">
        <f t="shared" si="97"/>
        <v/>
      </c>
      <c r="R227" s="1504" t="str">
        <f t="shared" si="98"/>
        <v/>
      </c>
      <c r="S227" s="1504" t="str">
        <f t="shared" si="99"/>
        <v/>
      </c>
      <c r="T227" s="1504" t="str">
        <f t="shared" si="100"/>
        <v/>
      </c>
      <c r="U227" s="1504" t="str">
        <f t="shared" si="101"/>
        <v/>
      </c>
      <c r="V227" s="1503" t="str">
        <f>IF(AND(C227&lt;&gt;"",C227&lt;&gt;"Vacant",C227&lt;&gt;"Manager"),'F-TIV'!O224,"")</f>
        <v/>
      </c>
      <c r="W227" s="1502" t="str">
        <f>IF(AND(C227&lt;&gt;"",C227&lt;&gt;"Vacant",C227&lt;&gt;"Manager"),'F-TIV'!P224,"")</f>
        <v/>
      </c>
      <c r="X227" s="1498" t="str">
        <f t="shared" si="102"/>
        <v/>
      </c>
      <c r="Y227" s="1501" t="str">
        <f>IF('F-TIV'!G224&lt;&gt;"",'F-TIV'!G224,"")</f>
        <v/>
      </c>
      <c r="Z227" s="1500" t="str">
        <f>IF(AND(C227&lt;&gt;"",C227&lt;&gt;"Vacant",C227&lt;&gt;"Manager"),'F-TIV'!L224,"")</f>
        <v/>
      </c>
      <c r="AA227" s="1499" t="str">
        <f t="shared" si="103"/>
        <v/>
      </c>
      <c r="AB227" s="1498" t="str">
        <f t="shared" si="104"/>
        <v/>
      </c>
      <c r="AC227" s="1426"/>
      <c r="AD227" s="1426"/>
      <c r="AE227" s="1426"/>
      <c r="AG227" s="1497"/>
      <c r="AL227" s="1496"/>
      <c r="AN227" s="1496"/>
      <c r="AO227" s="1496"/>
      <c r="AP227" s="1496"/>
      <c r="AQ227" s="1496"/>
      <c r="AR227" s="1496"/>
    </row>
    <row r="228" spans="2:45" s="1442" customFormat="1" ht="11.25" customHeight="1">
      <c r="B228" s="1501" t="str">
        <f t="shared" si="90"/>
        <v>0</v>
      </c>
      <c r="C228" s="1506" t="str">
        <f>IF('F-TIV'!D225&lt;&gt;"",'F-TIV'!D225,"")</f>
        <v/>
      </c>
      <c r="D228" s="1501" t="str">
        <f>IF('F-TIV'!C225&lt;&gt;"",'F-TIV'!C225,"")</f>
        <v/>
      </c>
      <c r="E228" s="1502" t="str">
        <f>IF('F-TIV'!Q225&lt;&gt;"",'F-TIV'!Q225,"")</f>
        <v/>
      </c>
      <c r="F228" s="1502" t="str">
        <f>IF('F-TIV'!R225&lt;&gt;"",'F-TIV'!R225,"")</f>
        <v/>
      </c>
      <c r="G228" s="1505" t="str">
        <f>IF('F-TIV'!S225&lt;&gt;"",'F-TIV'!S225,"")</f>
        <v/>
      </c>
      <c r="H228" s="1501" t="str">
        <f>IF('F-TIV'!F225&lt;&gt;"",'F-TIV'!F225,"")</f>
        <v/>
      </c>
      <c r="I228" s="1500" t="str">
        <f>IF(AND(C228&lt;&gt;"",C228&lt;&gt;"Vacant",C228&lt;&gt;"Manager"),IF('F-TIV'!H225&lt;&gt;"",'F-TIV'!H225,""),"")</f>
        <v/>
      </c>
      <c r="J228" s="1500" t="str">
        <f>IF(AND(C228&lt;&gt;"",C228&lt;&gt;"Vacant",C228&lt;&gt;"Manager"),IF('F-TIV'!J225&lt;&gt;0,'F-TIV'!J225,"$0"),"")</f>
        <v/>
      </c>
      <c r="K228" s="1500" t="str">
        <f t="shared" si="91"/>
        <v/>
      </c>
      <c r="L228" s="1504" t="str">
        <f t="shared" si="92"/>
        <v/>
      </c>
      <c r="M228" s="1504" t="str">
        <f t="shared" si="93"/>
        <v/>
      </c>
      <c r="N228" s="1504" t="str">
        <f t="shared" si="94"/>
        <v/>
      </c>
      <c r="O228" s="1504" t="str">
        <f t="shared" si="95"/>
        <v/>
      </c>
      <c r="P228" s="1504" t="str">
        <f t="shared" si="96"/>
        <v/>
      </c>
      <c r="Q228" s="1504" t="str">
        <f t="shared" si="97"/>
        <v/>
      </c>
      <c r="R228" s="1504" t="str">
        <f t="shared" si="98"/>
        <v/>
      </c>
      <c r="S228" s="1504" t="str">
        <f t="shared" si="99"/>
        <v/>
      </c>
      <c r="T228" s="1504" t="str">
        <f t="shared" si="100"/>
        <v/>
      </c>
      <c r="U228" s="1504" t="str">
        <f t="shared" si="101"/>
        <v/>
      </c>
      <c r="V228" s="1503" t="str">
        <f>IF(AND(C228&lt;&gt;"",C228&lt;&gt;"Vacant",C228&lt;&gt;"Manager"),'F-TIV'!O225,"")</f>
        <v/>
      </c>
      <c r="W228" s="1502" t="str">
        <f>IF(AND(C228&lt;&gt;"",C228&lt;&gt;"Vacant",C228&lt;&gt;"Manager"),'F-TIV'!P225,"")</f>
        <v/>
      </c>
      <c r="X228" s="1498" t="str">
        <f t="shared" si="102"/>
        <v/>
      </c>
      <c r="Y228" s="1501" t="str">
        <f>IF('F-TIV'!G225&lt;&gt;"",'F-TIV'!G225,"")</f>
        <v/>
      </c>
      <c r="Z228" s="1500" t="str">
        <f>IF(AND(C228&lt;&gt;"",C228&lt;&gt;"Vacant",C228&lt;&gt;"Manager"),'F-TIV'!L225,"")</f>
        <v/>
      </c>
      <c r="AA228" s="1499" t="str">
        <f t="shared" si="103"/>
        <v/>
      </c>
      <c r="AB228" s="1498" t="str">
        <f t="shared" si="104"/>
        <v/>
      </c>
      <c r="AC228" s="1426"/>
      <c r="AD228" s="1426"/>
      <c r="AE228" s="1426"/>
      <c r="AG228" s="1497"/>
      <c r="AL228" s="1496"/>
      <c r="AN228" s="1496"/>
      <c r="AO228" s="1496"/>
      <c r="AP228" s="1496"/>
      <c r="AQ228" s="1496"/>
      <c r="AR228" s="1496"/>
    </row>
    <row r="229" spans="2:45" s="1442" customFormat="1" ht="11.25" customHeight="1">
      <c r="B229" s="1501" t="str">
        <f t="shared" si="90"/>
        <v>0</v>
      </c>
      <c r="C229" s="1506" t="str">
        <f>IF('F-TIV'!D226&lt;&gt;"",'F-TIV'!D226,"")</f>
        <v/>
      </c>
      <c r="D229" s="1501" t="str">
        <f>IF('F-TIV'!C226&lt;&gt;"",'F-TIV'!C226,"")</f>
        <v/>
      </c>
      <c r="E229" s="1502" t="str">
        <f>IF('F-TIV'!Q226&lt;&gt;"",'F-TIV'!Q226,"")</f>
        <v/>
      </c>
      <c r="F229" s="1502" t="str">
        <f>IF('F-TIV'!R226&lt;&gt;"",'F-TIV'!R226,"")</f>
        <v/>
      </c>
      <c r="G229" s="1505" t="str">
        <f>IF('F-TIV'!S226&lt;&gt;"",'F-TIV'!S226,"")</f>
        <v/>
      </c>
      <c r="H229" s="1501" t="str">
        <f>IF('F-TIV'!F226&lt;&gt;"",'F-TIV'!F226,"")</f>
        <v/>
      </c>
      <c r="I229" s="1500" t="str">
        <f>IF(AND(C229&lt;&gt;"",C229&lt;&gt;"Vacant",C229&lt;&gt;"Manager"),IF('F-TIV'!H226&lt;&gt;"",'F-TIV'!H226,""),"")</f>
        <v/>
      </c>
      <c r="J229" s="1500" t="str">
        <f>IF(AND(C229&lt;&gt;"",C229&lt;&gt;"Vacant",C229&lt;&gt;"Manager"),IF('F-TIV'!J226&lt;&gt;0,'F-TIV'!J226,"$0"),"")</f>
        <v/>
      </c>
      <c r="K229" s="1500" t="str">
        <f t="shared" si="91"/>
        <v/>
      </c>
      <c r="L229" s="1504" t="str">
        <f t="shared" si="92"/>
        <v/>
      </c>
      <c r="M229" s="1504" t="str">
        <f t="shared" si="93"/>
        <v/>
      </c>
      <c r="N229" s="1504" t="str">
        <f t="shared" si="94"/>
        <v/>
      </c>
      <c r="O229" s="1504" t="str">
        <f t="shared" si="95"/>
        <v/>
      </c>
      <c r="P229" s="1504" t="str">
        <f t="shared" si="96"/>
        <v/>
      </c>
      <c r="Q229" s="1504" t="str">
        <f t="shared" si="97"/>
        <v/>
      </c>
      <c r="R229" s="1504" t="str">
        <f t="shared" si="98"/>
        <v/>
      </c>
      <c r="S229" s="1504" t="str">
        <f t="shared" si="99"/>
        <v/>
      </c>
      <c r="T229" s="1504" t="str">
        <f t="shared" si="100"/>
        <v/>
      </c>
      <c r="U229" s="1504" t="str">
        <f t="shared" si="101"/>
        <v/>
      </c>
      <c r="V229" s="1503" t="str">
        <f>IF(AND(C229&lt;&gt;"",C229&lt;&gt;"Vacant",C229&lt;&gt;"Manager"),'F-TIV'!O226,"")</f>
        <v/>
      </c>
      <c r="W229" s="1502" t="str">
        <f>IF(AND(C229&lt;&gt;"",C229&lt;&gt;"Vacant",C229&lt;&gt;"Manager"),'F-TIV'!P226,"")</f>
        <v/>
      </c>
      <c r="X229" s="1498" t="str">
        <f t="shared" si="102"/>
        <v/>
      </c>
      <c r="Y229" s="1501" t="str">
        <f>IF('F-TIV'!G226&lt;&gt;"",'F-TIV'!G226,"")</f>
        <v/>
      </c>
      <c r="Z229" s="1500" t="str">
        <f>IF(AND(C229&lt;&gt;"",C229&lt;&gt;"Vacant",C229&lt;&gt;"Manager"),'F-TIV'!L226,"")</f>
        <v/>
      </c>
      <c r="AA229" s="1499" t="str">
        <f t="shared" si="103"/>
        <v/>
      </c>
      <c r="AB229" s="1498" t="str">
        <f t="shared" si="104"/>
        <v/>
      </c>
      <c r="AC229" s="1426"/>
      <c r="AD229" s="1426"/>
      <c r="AE229" s="1426"/>
      <c r="AG229" s="1497"/>
      <c r="AL229" s="1496"/>
      <c r="AN229" s="1496"/>
      <c r="AO229" s="1496"/>
      <c r="AP229" s="1496"/>
      <c r="AQ229" s="1496"/>
      <c r="AR229" s="1496"/>
    </row>
    <row r="230" spans="2:45" ht="5.25" customHeight="1" thickBot="1">
      <c r="C230" s="1441"/>
      <c r="E230" s="1495"/>
      <c r="F230" s="1494"/>
      <c r="G230" s="1489"/>
      <c r="H230" s="1441"/>
      <c r="I230" s="1441"/>
      <c r="J230" s="1493"/>
      <c r="K230" s="1491"/>
      <c r="L230" s="1491"/>
      <c r="M230" s="1492"/>
      <c r="N230" s="1491"/>
      <c r="O230" s="1492"/>
      <c r="P230" s="1491"/>
      <c r="Q230" s="1490"/>
      <c r="R230" s="1490"/>
      <c r="S230" s="1490"/>
      <c r="T230" s="1490"/>
      <c r="U230" s="1490"/>
      <c r="V230" s="1490"/>
      <c r="W230" s="1490"/>
      <c r="X230" s="1490"/>
      <c r="Y230" s="1490"/>
      <c r="Z230" s="1490"/>
      <c r="AA230" s="1490"/>
      <c r="AB230" s="1489"/>
      <c r="AC230" s="1489"/>
      <c r="AD230" s="1489"/>
      <c r="AL230" s="1442"/>
      <c r="AQ230" s="1453"/>
      <c r="AR230" s="1453"/>
    </row>
    <row r="231" spans="2:45" ht="12.75" customHeight="1" thickBot="1">
      <c r="C231" s="1600">
        <f>COUNTIF(B30:B229,"1")</f>
        <v>0</v>
      </c>
      <c r="E231" s="1601">
        <f>COUNTIF(E30:E229,"Yes")</f>
        <v>0</v>
      </c>
      <c r="F231" s="1601">
        <f>COUNTIF(F30:F229,"Yes")</f>
        <v>0</v>
      </c>
      <c r="G231" s="1601">
        <f>COUNTIF(G30:G229,"Yes")</f>
        <v>0</v>
      </c>
      <c r="H231" s="1488"/>
      <c r="I231" s="1488"/>
      <c r="J231" s="1488"/>
      <c r="K231" s="1488"/>
      <c r="L231" s="1476"/>
      <c r="M231" s="1486">
        <f>COUNTIF(M30:M229,"Yes")</f>
        <v>0</v>
      </c>
      <c r="N231" s="1476"/>
      <c r="O231" s="1486">
        <f>COUNTIF(O30:O229,"Yes")</f>
        <v>0</v>
      </c>
      <c r="P231" s="1487"/>
      <c r="Q231" s="1486">
        <f>COUNTIF(Q30:Q229,"Yes")</f>
        <v>0</v>
      </c>
      <c r="R231" s="1484"/>
      <c r="S231" s="1486">
        <f>COUNTIF(S30:S229,"Yes")</f>
        <v>0</v>
      </c>
      <c r="T231" s="1485"/>
      <c r="U231" s="1486">
        <f>COUNTIF(U30:U229,"Yes")</f>
        <v>0</v>
      </c>
      <c r="V231" s="1485"/>
      <c r="W231" s="1485"/>
      <c r="X231" s="1484"/>
      <c r="Y231" s="1441"/>
      <c r="Z231" s="1441"/>
      <c r="AA231" s="1441"/>
      <c r="AK231" s="1453"/>
      <c r="AL231" s="1453"/>
    </row>
    <row r="232" spans="2:45" ht="14.25" customHeight="1">
      <c r="D232" s="1305"/>
      <c r="E232" s="1305"/>
      <c r="F232" s="1305"/>
      <c r="G232" s="1305"/>
      <c r="H232" s="1305"/>
      <c r="I232" s="1305"/>
      <c r="J232" s="1305"/>
      <c r="K232" s="1305"/>
      <c r="AR232" s="1453"/>
      <c r="AS232" s="1453"/>
    </row>
    <row r="233" spans="2:45" ht="14.25" customHeight="1" thickBot="1">
      <c r="C233" s="2487" t="s">
        <v>1226</v>
      </c>
      <c r="D233" s="2487"/>
      <c r="E233" s="1483"/>
      <c r="F233" s="1483"/>
      <c r="G233" s="1483"/>
      <c r="H233" s="1483"/>
      <c r="I233" s="1483"/>
      <c r="J233" s="1483"/>
      <c r="K233" s="1482"/>
      <c r="L233" s="1482"/>
      <c r="M233" s="1482"/>
      <c r="N233" s="1482"/>
      <c r="O233" s="1482"/>
      <c r="P233" s="1482"/>
      <c r="Q233" s="1482"/>
      <c r="R233" s="1482"/>
      <c r="S233" s="1482"/>
      <c r="T233" s="1482"/>
      <c r="U233" s="1482"/>
      <c r="V233" s="1482"/>
      <c r="W233" s="1482"/>
      <c r="X233" s="1482"/>
      <c r="Y233" s="1482"/>
      <c r="Z233" s="1482"/>
      <c r="AA233" s="1482"/>
      <c r="AB233" s="1482"/>
      <c r="AC233" s="1482"/>
      <c r="AQ233" s="1453"/>
      <c r="AR233" s="1453"/>
    </row>
    <row r="234" spans="2:45" ht="13.5" customHeight="1" thickTop="1">
      <c r="K234" s="1481"/>
      <c r="L234" s="1480"/>
      <c r="M234" s="1478"/>
      <c r="N234" s="1479"/>
      <c r="O234" s="1479"/>
      <c r="P234" s="1479"/>
      <c r="Q234" s="1479"/>
      <c r="R234" s="1479"/>
      <c r="S234" s="1479"/>
      <c r="T234" s="1478"/>
      <c r="U234" s="1478"/>
      <c r="V234" s="1478"/>
      <c r="W234" s="1447"/>
      <c r="X234" s="1447"/>
      <c r="AR234" s="1453"/>
    </row>
    <row r="235" spans="2:45" ht="12" customHeight="1">
      <c r="C235" s="2488" t="s">
        <v>1225</v>
      </c>
      <c r="D235" s="2488"/>
      <c r="E235" s="2488"/>
      <c r="F235" s="2488"/>
      <c r="G235" s="1477" t="str">
        <f>IF(O231&gt;0,(COUNTIFS(O30:O229,"Yes",AB30:AB229,"&lt;=.5")/C231),"")</f>
        <v/>
      </c>
      <c r="H235" s="2489" t="s">
        <v>1224</v>
      </c>
      <c r="I235" s="2489"/>
      <c r="J235" s="1604" t="s">
        <v>1223</v>
      </c>
      <c r="K235" s="1605" t="s">
        <v>1214</v>
      </c>
      <c r="L235" s="1606" t="s">
        <v>1222</v>
      </c>
      <c r="M235" s="1605" t="s">
        <v>1221</v>
      </c>
      <c r="N235" s="1476"/>
      <c r="O235" s="2490" t="s">
        <v>1220</v>
      </c>
      <c r="P235" s="2490"/>
      <c r="Q235" s="2490"/>
      <c r="R235" s="2490"/>
      <c r="S235" s="2490"/>
      <c r="T235" s="2490"/>
      <c r="U235" s="1455"/>
      <c r="V235" s="1455"/>
      <c r="W235" s="1455"/>
      <c r="Z235" s="1453"/>
    </row>
    <row r="236" spans="2:45" ht="12.75" customHeight="1">
      <c r="C236" s="2491" t="s">
        <v>1205</v>
      </c>
      <c r="D236" s="2492"/>
      <c r="E236" s="2493"/>
      <c r="F236" s="1470"/>
      <c r="G236" s="1470"/>
      <c r="H236" s="1475"/>
      <c r="I236" s="1474"/>
      <c r="J236" s="1473">
        <f>IF(K236="",L29,(IF(K236&gt;0,L29,"NA")))</f>
        <v>0.3</v>
      </c>
      <c r="K236" s="1471"/>
      <c r="L236" s="1472">
        <f>IF(AND(K236&lt;&gt;0,K236&lt;&gt;""),IF($J236&gt;0,(COUNTIF($AB$30:$AB$229,"&lt;="&amp;$J236))),0)</f>
        <v>0</v>
      </c>
      <c r="M236" s="1471"/>
      <c r="O236" s="1455"/>
      <c r="P236" s="2494" t="s">
        <v>1205</v>
      </c>
      <c r="Q236" s="2494"/>
      <c r="R236" s="2494"/>
      <c r="S236" s="2494"/>
      <c r="T236" s="1455"/>
      <c r="U236" s="1455"/>
      <c r="V236" s="1455"/>
      <c r="W236" s="1455"/>
      <c r="Z236" s="1453"/>
    </row>
    <row r="237" spans="2:45" ht="13.5" customHeight="1">
      <c r="F237" s="1470"/>
      <c r="G237" s="1470"/>
      <c r="H237" s="1470"/>
      <c r="I237" s="1469"/>
      <c r="J237" s="1462">
        <f>IF(K237="",N29,(IF(K237&gt;0,N29,"NA")))</f>
        <v>0.5</v>
      </c>
      <c r="K237" s="1465"/>
      <c r="L237" s="1460">
        <f>IF(AND(K237&lt;&gt;0,K237&lt;&gt;""),IF($J237&gt;0,(COUNTIF($AB$30:$AB$229,"&lt;="&amp;$J237)))-L236,0)</f>
        <v>0</v>
      </c>
      <c r="M237" s="1460"/>
      <c r="O237" s="1455"/>
      <c r="P237" s="1455"/>
      <c r="Q237" s="1455"/>
      <c r="R237" s="1455"/>
      <c r="S237" s="1455"/>
      <c r="T237" s="1455"/>
      <c r="U237" s="1455"/>
      <c r="V237" s="1455"/>
      <c r="W237" s="1455"/>
      <c r="Z237" s="1453"/>
    </row>
    <row r="238" spans="2:45" ht="13.5" customHeight="1">
      <c r="C238" s="1441"/>
      <c r="I238" s="1459"/>
      <c r="J238" s="1462">
        <f>IF(K238="",P29,(IF(K238&gt;0,P29,"NA")))</f>
        <v>0.6</v>
      </c>
      <c r="K238" s="1465"/>
      <c r="L238" s="1460">
        <f>IF(AND(K238&lt;&gt;0,K238&lt;&gt;""),IF($J238&gt;0,(COUNTIF($AB$30:$AB$229,"&lt;="&amp;$J238)))-L237-L236,0)</f>
        <v>0</v>
      </c>
      <c r="M238" s="1460"/>
      <c r="O238" s="1455"/>
      <c r="P238" s="1455"/>
      <c r="Q238" s="1468"/>
      <c r="R238" s="1467"/>
      <c r="S238" s="1467"/>
      <c r="T238" s="1467"/>
      <c r="U238" s="1467"/>
      <c r="V238" s="1455"/>
      <c r="W238" s="1455"/>
      <c r="Z238" s="1453"/>
    </row>
    <row r="239" spans="2:45" ht="12" customHeight="1">
      <c r="I239" s="1459"/>
      <c r="J239" s="1462">
        <f>IF(K239="",R29,(IF(K239&gt;0,R29,"NA")))</f>
        <v>0.7</v>
      </c>
      <c r="K239" s="1465"/>
      <c r="L239" s="1460">
        <f>IF(AND(K239&lt;&gt;0,K239&lt;&gt;""),IF($J239&gt;0,(COUNTIF($AB$30:$AB$229,"&lt;="&amp;$J239)))-L238-L237-L236,0)</f>
        <v>0</v>
      </c>
      <c r="M239" s="1460"/>
      <c r="N239" s="1442"/>
      <c r="O239" s="1455"/>
      <c r="P239" s="1455"/>
      <c r="Q239" s="1468"/>
      <c r="R239" s="1467"/>
      <c r="S239" s="1467"/>
      <c r="T239" s="1467"/>
      <c r="U239" s="1467"/>
      <c r="AF239" s="1453"/>
    </row>
    <row r="240" spans="2:45" ht="12.75" customHeight="1">
      <c r="I240" s="1459"/>
      <c r="J240" s="1462">
        <f>IF(K240="",T29,(IF(K240&gt;0,T29,"NA")))</f>
        <v>0.8</v>
      </c>
      <c r="K240" s="1465"/>
      <c r="L240" s="1460">
        <f>IF(AND(K240&lt;&gt;0,K240&lt;&gt;""),IF($J240&gt;0,(COUNTIF($AB$30:$AB$229,"&lt;="&amp;$J240)))-L239-L238-L237-L236,0)</f>
        <v>0</v>
      </c>
      <c r="M240" s="1460"/>
      <c r="O240" s="2495" t="s">
        <v>1219</v>
      </c>
      <c r="P240" s="2495"/>
      <c r="Q240" s="2495"/>
      <c r="R240" s="2495"/>
      <c r="S240" s="1456"/>
      <c r="T240" s="1456"/>
      <c r="U240" s="1455"/>
      <c r="V240" s="1467"/>
      <c r="W240" s="1467"/>
      <c r="AS240" s="1453"/>
    </row>
    <row r="241" spans="1:45" ht="12" customHeight="1">
      <c r="I241" s="1459"/>
      <c r="J241" s="1466">
        <f>MAX(J236:J240)</f>
        <v>0.8</v>
      </c>
      <c r="K241" s="1465"/>
      <c r="L241" s="1460">
        <f>COUNTIF($AB$30:$AB$229,"&gt;"&amp;$J241)</f>
        <v>0</v>
      </c>
      <c r="M241" s="1460"/>
      <c r="O241" s="1455"/>
      <c r="P241" s="1464" t="s">
        <v>1218</v>
      </c>
      <c r="Q241" s="1463" t="s">
        <v>1217</v>
      </c>
      <c r="R241" s="2502"/>
      <c r="S241" s="2502"/>
      <c r="T241" s="2502"/>
      <c r="U241" s="2502"/>
      <c r="V241" s="2502"/>
      <c r="W241" s="2502"/>
      <c r="AS241" s="1453"/>
    </row>
    <row r="242" spans="1:45" ht="12" customHeight="1">
      <c r="I242" s="1459"/>
      <c r="J242" s="1462" t="s">
        <v>1177</v>
      </c>
      <c r="K242" s="1461"/>
      <c r="L242" s="1460">
        <f>COUNTIF($C30:$C229,"Vacant")</f>
        <v>0</v>
      </c>
      <c r="M242" s="1460"/>
      <c r="O242" s="1456"/>
      <c r="P242" s="1455"/>
      <c r="Q242" s="1455"/>
      <c r="R242" s="2502"/>
      <c r="S242" s="2502"/>
      <c r="T242" s="2502"/>
      <c r="U242" s="2502"/>
      <c r="V242" s="2502"/>
      <c r="W242" s="2502"/>
      <c r="AS242" s="1453"/>
    </row>
    <row r="243" spans="1:45" ht="13.5" thickBot="1">
      <c r="I243" s="1459"/>
      <c r="J243" s="1458" t="s">
        <v>1216</v>
      </c>
      <c r="K243" s="1457"/>
      <c r="L243" s="1457">
        <f>COUNTIF($C30:$C229,"Manager")</f>
        <v>0</v>
      </c>
      <c r="M243" s="1457"/>
      <c r="O243" s="1456"/>
      <c r="P243" s="1455"/>
      <c r="Q243" s="1455"/>
      <c r="R243" s="2502"/>
      <c r="S243" s="2502"/>
      <c r="T243" s="2502"/>
      <c r="U243" s="2502"/>
      <c r="V243" s="2502"/>
      <c r="W243" s="2502"/>
      <c r="AS243" s="1453"/>
    </row>
    <row r="244" spans="1:45" ht="14.25" customHeight="1" thickBot="1">
      <c r="J244" s="1602" t="s">
        <v>1215</v>
      </c>
      <c r="K244" s="1602">
        <f>SUM(K236:K243)</f>
        <v>0</v>
      </c>
      <c r="L244" s="1603">
        <f>SUM(L236:L243)</f>
        <v>0</v>
      </c>
      <c r="M244" s="1602">
        <f>SUM(M236:M243)</f>
        <v>0</v>
      </c>
      <c r="AQ244" s="1453"/>
    </row>
    <row r="245" spans="1:45" ht="14.25" customHeight="1">
      <c r="J245" s="2499" t="s">
        <v>1205</v>
      </c>
      <c r="K245" s="2500"/>
      <c r="L245" s="2501"/>
      <c r="M245" s="1442"/>
      <c r="O245" s="1454"/>
      <c r="P245" s="1454"/>
      <c r="Q245" s="1605" t="s">
        <v>1214</v>
      </c>
      <c r="R245" s="1605" t="s">
        <v>1213</v>
      </c>
      <c r="S245" s="2484" t="s">
        <v>1212</v>
      </c>
      <c r="T245" s="2485"/>
      <c r="U245" s="2486"/>
      <c r="AP245" s="1453"/>
    </row>
    <row r="246" spans="1:45" ht="12" customHeight="1">
      <c r="O246" s="2472" t="s">
        <v>1211</v>
      </c>
      <c r="P246" s="2473"/>
      <c r="Q246" s="2474"/>
      <c r="R246" s="2476"/>
      <c r="S246" s="2478" t="s">
        <v>1205</v>
      </c>
      <c r="T246" s="2479"/>
      <c r="U246" s="2480"/>
    </row>
    <row r="247" spans="1:45" ht="12" customHeight="1" thickBot="1">
      <c r="C247" s="1452" t="s">
        <v>1210</v>
      </c>
      <c r="O247" s="2472"/>
      <c r="P247" s="2473"/>
      <c r="Q247" s="2475"/>
      <c r="R247" s="2477"/>
      <c r="S247" s="2481"/>
      <c r="T247" s="2482"/>
      <c r="U247" s="2483"/>
    </row>
    <row r="248" spans="1:45" ht="12.75" customHeight="1" thickTop="1">
      <c r="C248" s="1451"/>
      <c r="D248" s="1445"/>
      <c r="E248" s="1445"/>
      <c r="F248" s="1445"/>
      <c r="G248" s="1445"/>
      <c r="H248" s="1445"/>
      <c r="I248" s="1445"/>
      <c r="J248" s="1445"/>
      <c r="K248" s="1445"/>
      <c r="L248" s="1445"/>
      <c r="M248" s="1438"/>
      <c r="O248" s="2472" t="s">
        <v>1209</v>
      </c>
      <c r="P248" s="2473"/>
      <c r="Q248" s="2474"/>
      <c r="R248" s="2476"/>
      <c r="S248" s="2478" t="s">
        <v>1205</v>
      </c>
      <c r="T248" s="2479"/>
      <c r="U248" s="2480"/>
    </row>
    <row r="249" spans="1:45">
      <c r="C249" s="2448" t="s">
        <v>1208</v>
      </c>
      <c r="D249" s="2449"/>
      <c r="E249" s="2470"/>
      <c r="F249" s="2451"/>
      <c r="G249" s="2471" t="s">
        <v>1207</v>
      </c>
      <c r="H249" s="2449"/>
      <c r="I249" s="2449"/>
      <c r="J249" s="2454"/>
      <c r="K249" s="2470"/>
      <c r="L249" s="2451"/>
      <c r="M249" s="1430"/>
      <c r="O249" s="2472"/>
      <c r="P249" s="2473"/>
      <c r="Q249" s="2475"/>
      <c r="R249" s="2477"/>
      <c r="S249" s="2481"/>
      <c r="T249" s="2482"/>
      <c r="U249" s="2483"/>
    </row>
    <row r="250" spans="1:45" ht="12.75" customHeight="1">
      <c r="C250" s="1450"/>
      <c r="D250" s="1431"/>
      <c r="E250" s="1449"/>
      <c r="F250" s="1449"/>
      <c r="G250" s="1431"/>
      <c r="H250" s="1431"/>
      <c r="I250" s="1431"/>
      <c r="J250" s="1431"/>
      <c r="K250" s="1449"/>
      <c r="L250" s="1449"/>
      <c r="M250" s="1430"/>
      <c r="O250" s="2472" t="s">
        <v>1206</v>
      </c>
      <c r="P250" s="2473"/>
      <c r="Q250" s="2467"/>
      <c r="R250" s="2468"/>
      <c r="S250" s="2469" t="s">
        <v>1205</v>
      </c>
      <c r="T250" s="2469"/>
      <c r="U250" s="2469"/>
    </row>
    <row r="251" spans="1:45">
      <c r="C251" s="2448" t="s">
        <v>1198</v>
      </c>
      <c r="D251" s="2454"/>
      <c r="E251" s="2450"/>
      <c r="F251" s="2451"/>
      <c r="G251" s="1431"/>
      <c r="H251" s="1431"/>
      <c r="I251" s="2449" t="s">
        <v>1198</v>
      </c>
      <c r="J251" s="2454"/>
      <c r="K251" s="2450"/>
      <c r="L251" s="2451"/>
      <c r="M251" s="1430"/>
      <c r="O251" s="2472"/>
      <c r="P251" s="2473"/>
      <c r="Q251" s="2467"/>
      <c r="R251" s="2468"/>
      <c r="S251" s="2469"/>
      <c r="T251" s="2469"/>
      <c r="U251" s="2469"/>
    </row>
    <row r="252" spans="1:45" ht="12.75" customHeight="1">
      <c r="C252" s="2448"/>
      <c r="D252" s="2449"/>
      <c r="E252" s="1435"/>
      <c r="F252" s="1435"/>
      <c r="G252" s="1435"/>
      <c r="H252" s="1435"/>
      <c r="I252" s="2449"/>
      <c r="J252" s="2449"/>
      <c r="K252" s="1435"/>
      <c r="L252" s="1435"/>
      <c r="M252" s="1430"/>
    </row>
    <row r="253" spans="1:45">
      <c r="C253" s="2448" t="s">
        <v>1197</v>
      </c>
      <c r="D253" s="2454"/>
      <c r="E253" s="2450"/>
      <c r="F253" s="2451"/>
      <c r="G253" s="1431"/>
      <c r="H253" s="2449" t="s">
        <v>1197</v>
      </c>
      <c r="I253" s="2449"/>
      <c r="J253" s="2454"/>
      <c r="K253" s="2450"/>
      <c r="L253" s="2451"/>
      <c r="M253" s="1430"/>
    </row>
    <row r="254" spans="1:45" ht="3.75" customHeight="1" thickBot="1">
      <c r="C254" s="1429"/>
      <c r="D254" s="1428"/>
      <c r="E254" s="1428"/>
      <c r="F254" s="1428"/>
      <c r="G254" s="1428"/>
      <c r="H254" s="1428"/>
      <c r="I254" s="1428"/>
      <c r="J254" s="1428"/>
      <c r="K254" s="1428"/>
      <c r="L254" s="1428"/>
      <c r="M254" s="1427"/>
    </row>
    <row r="255" spans="1:45" ht="7.5" customHeight="1" thickTop="1">
      <c r="A255" s="1447"/>
      <c r="B255" s="1447"/>
      <c r="C255" s="1447"/>
      <c r="D255" s="1447"/>
      <c r="E255" s="1447"/>
      <c r="F255" s="1447"/>
      <c r="G255" s="1447"/>
      <c r="H255" s="1447"/>
      <c r="I255" s="1447"/>
      <c r="J255" s="1447"/>
      <c r="K255" s="1447"/>
      <c r="L255" s="1447"/>
      <c r="M255" s="1447"/>
    </row>
    <row r="256" spans="1:45" ht="13.5" thickBot="1">
      <c r="A256" s="1447"/>
      <c r="B256" s="1447"/>
      <c r="C256" s="1448" t="s">
        <v>1204</v>
      </c>
      <c r="D256" s="1447"/>
      <c r="E256" s="1447"/>
      <c r="F256" s="1447"/>
      <c r="G256" s="1447"/>
      <c r="H256" s="1447"/>
      <c r="I256" s="1447"/>
      <c r="J256" s="1447"/>
      <c r="K256" s="1447"/>
      <c r="L256" s="1447"/>
      <c r="M256" s="1447"/>
    </row>
    <row r="257" spans="3:13" ht="3.75" customHeight="1" thickTop="1">
      <c r="C257" s="1446"/>
      <c r="D257" s="1445"/>
      <c r="E257" s="1445"/>
      <c r="F257" s="1445"/>
      <c r="G257" s="1445"/>
      <c r="H257" s="1445"/>
      <c r="I257" s="1445"/>
      <c r="J257" s="1445"/>
      <c r="K257" s="1445"/>
      <c r="L257" s="1445"/>
      <c r="M257" s="1438"/>
    </row>
    <row r="258" spans="3:13">
      <c r="C258" s="2448" t="s">
        <v>1203</v>
      </c>
      <c r="D258" s="2449"/>
      <c r="E258" s="2470"/>
      <c r="F258" s="2451"/>
      <c r="G258" s="2449" t="s">
        <v>1202</v>
      </c>
      <c r="H258" s="2449"/>
      <c r="I258" s="2449"/>
      <c r="J258" s="2449"/>
      <c r="K258" s="2450"/>
      <c r="L258" s="2451"/>
      <c r="M258" s="1430"/>
    </row>
    <row r="259" spans="3:13" ht="3.75" customHeight="1" thickBot="1">
      <c r="C259" s="1429"/>
      <c r="D259" s="1428"/>
      <c r="E259" s="1428"/>
      <c r="F259" s="1428"/>
      <c r="G259" s="1428"/>
      <c r="H259" s="1428"/>
      <c r="I259" s="1428"/>
      <c r="J259" s="1428"/>
      <c r="K259" s="1428"/>
      <c r="L259" s="1428"/>
      <c r="M259" s="1427"/>
    </row>
    <row r="260" spans="3:13" ht="7.5" customHeight="1" thickTop="1">
      <c r="C260" s="1442"/>
      <c r="D260" s="1441"/>
      <c r="E260" s="1441"/>
      <c r="F260" s="1441"/>
      <c r="G260" s="1441"/>
      <c r="H260" s="1441"/>
      <c r="I260" s="1441"/>
      <c r="J260" s="1441"/>
      <c r="K260" s="1441"/>
      <c r="L260" s="1441"/>
    </row>
    <row r="261" spans="3:13" ht="13.5" thickBot="1">
      <c r="C261" s="1444" t="s">
        <v>1201</v>
      </c>
      <c r="D261" s="1443"/>
      <c r="E261" s="1442"/>
      <c r="F261" s="1442"/>
      <c r="G261" s="1442"/>
      <c r="H261" s="1442"/>
      <c r="I261" s="1441"/>
      <c r="J261" s="1441"/>
      <c r="K261" s="1441"/>
      <c r="L261" s="1441"/>
    </row>
    <row r="262" spans="3:13" ht="3.75" customHeight="1" thickTop="1">
      <c r="C262" s="1440"/>
      <c r="D262" s="1439"/>
      <c r="E262" s="1439"/>
      <c r="F262" s="1439"/>
      <c r="G262" s="1439"/>
      <c r="H262" s="1439"/>
      <c r="I262" s="1439"/>
      <c r="J262" s="1439"/>
      <c r="K262" s="1439"/>
      <c r="L262" s="1439"/>
      <c r="M262" s="1438"/>
    </row>
    <row r="263" spans="3:13">
      <c r="C263" s="2448" t="s">
        <v>1200</v>
      </c>
      <c r="D263" s="2449"/>
      <c r="E263" s="2450"/>
      <c r="F263" s="2451"/>
      <c r="G263" s="1435"/>
      <c r="H263" s="1433"/>
      <c r="I263" s="1433"/>
      <c r="J263" s="1431" t="s">
        <v>1199</v>
      </c>
      <c r="K263" s="2452"/>
      <c r="L263" s="2453"/>
      <c r="M263" s="1430"/>
    </row>
    <row r="264" spans="3:13" ht="3.75" customHeight="1">
      <c r="C264" s="1437"/>
      <c r="D264" s="1436"/>
      <c r="E264" s="1436"/>
      <c r="F264" s="1436"/>
      <c r="G264" s="1436"/>
      <c r="H264" s="1436"/>
      <c r="I264" s="1436"/>
      <c r="J264" s="1436"/>
      <c r="K264" s="1436"/>
      <c r="L264" s="1436"/>
      <c r="M264" s="1430"/>
    </row>
    <row r="265" spans="3:13">
      <c r="C265" s="1434"/>
      <c r="D265" s="1433"/>
      <c r="E265" s="1432"/>
      <c r="F265" s="1432"/>
      <c r="G265" s="1431"/>
      <c r="H265" s="1431"/>
      <c r="I265" s="2449" t="s">
        <v>1198</v>
      </c>
      <c r="J265" s="2449"/>
      <c r="K265" s="2450"/>
      <c r="L265" s="2451"/>
      <c r="M265" s="1430"/>
    </row>
    <row r="266" spans="3:13" ht="3.75" customHeight="1">
      <c r="C266" s="1434"/>
      <c r="D266" s="1433"/>
      <c r="E266" s="1435"/>
      <c r="F266" s="1435"/>
      <c r="G266" s="1435"/>
      <c r="H266" s="1435"/>
      <c r="I266" s="2449"/>
      <c r="J266" s="2449"/>
      <c r="K266" s="1435"/>
      <c r="L266" s="1435"/>
      <c r="M266" s="1430"/>
    </row>
    <row r="267" spans="3:13">
      <c r="C267" s="1434"/>
      <c r="D267" s="1433"/>
      <c r="E267" s="1432"/>
      <c r="F267" s="1432"/>
      <c r="G267" s="1431"/>
      <c r="H267" s="2449" t="s">
        <v>1197</v>
      </c>
      <c r="I267" s="2449"/>
      <c r="J267" s="2454"/>
      <c r="K267" s="2450"/>
      <c r="L267" s="2451"/>
      <c r="M267" s="1430"/>
    </row>
    <row r="268" spans="3:13" ht="3.75" customHeight="1" thickBot="1">
      <c r="C268" s="1429"/>
      <c r="D268" s="1428"/>
      <c r="E268" s="1428"/>
      <c r="F268" s="1428"/>
      <c r="G268" s="1428"/>
      <c r="H268" s="1428"/>
      <c r="I268" s="1428"/>
      <c r="J268" s="1428"/>
      <c r="K268" s="1428"/>
      <c r="L268" s="1428"/>
      <c r="M268" s="1427"/>
    </row>
    <row r="269" spans="3:13" ht="13.5" thickTop="1"/>
  </sheetData>
  <sheetProtection insertColumns="0" insertRows="0" selectLockedCells="1"/>
  <mergeCells count="90">
    <mergeCell ref="I19:L19"/>
    <mergeCell ref="C16:D16"/>
    <mergeCell ref="D2:J2"/>
    <mergeCell ref="G4:H4"/>
    <mergeCell ref="G6:H6"/>
    <mergeCell ref="I6:L6"/>
    <mergeCell ref="H8:K8"/>
    <mergeCell ref="D9:E9"/>
    <mergeCell ref="D10:E10"/>
    <mergeCell ref="C14:D14"/>
    <mergeCell ref="C15:D15"/>
    <mergeCell ref="I4:L4"/>
    <mergeCell ref="C28:C29"/>
    <mergeCell ref="D28:D29"/>
    <mergeCell ref="H28:H29"/>
    <mergeCell ref="I28:I29"/>
    <mergeCell ref="J28:J29"/>
    <mergeCell ref="J245:L245"/>
    <mergeCell ref="R241:W243"/>
    <mergeCell ref="K21:N21"/>
    <mergeCell ref="T29:U29"/>
    <mergeCell ref="X28:X29"/>
    <mergeCell ref="AB28:AB29"/>
    <mergeCell ref="E28:E29"/>
    <mergeCell ref="F28:F29"/>
    <mergeCell ref="G28:G29"/>
    <mergeCell ref="L29:M29"/>
    <mergeCell ref="N29:O29"/>
    <mergeCell ref="P29:Q29"/>
    <mergeCell ref="R29:S29"/>
    <mergeCell ref="AA28:AA29"/>
    <mergeCell ref="W28:W29"/>
    <mergeCell ref="V28:V29"/>
    <mergeCell ref="Y28:Y29"/>
    <mergeCell ref="Z28:Z29"/>
    <mergeCell ref="R248:R249"/>
    <mergeCell ref="S248:U249"/>
    <mergeCell ref="S245:U245"/>
    <mergeCell ref="C233:D233"/>
    <mergeCell ref="C235:F235"/>
    <mergeCell ref="H235:I235"/>
    <mergeCell ref="O235:T235"/>
    <mergeCell ref="C236:E236"/>
    <mergeCell ref="P236:S236"/>
    <mergeCell ref="O240:R240"/>
    <mergeCell ref="O246:P247"/>
    <mergeCell ref="Q246:Q247"/>
    <mergeCell ref="R246:R247"/>
    <mergeCell ref="S246:U247"/>
    <mergeCell ref="C249:D249"/>
    <mergeCell ref="E249:F249"/>
    <mergeCell ref="G249:J249"/>
    <mergeCell ref="K249:L249"/>
    <mergeCell ref="O248:P249"/>
    <mergeCell ref="Q248:Q249"/>
    <mergeCell ref="O250:P251"/>
    <mergeCell ref="R250:R251"/>
    <mergeCell ref="S250:U251"/>
    <mergeCell ref="C258:D258"/>
    <mergeCell ref="E258:F258"/>
    <mergeCell ref="G258:J258"/>
    <mergeCell ref="K258:L258"/>
    <mergeCell ref="C251:D251"/>
    <mergeCell ref="E251:F251"/>
    <mergeCell ref="C252:D252"/>
    <mergeCell ref="I252:J252"/>
    <mergeCell ref="C253:D253"/>
    <mergeCell ref="E253:F253"/>
    <mergeCell ref="H253:J253"/>
    <mergeCell ref="N10:S10"/>
    <mergeCell ref="N17:V17"/>
    <mergeCell ref="I266:J266"/>
    <mergeCell ref="H267:J267"/>
    <mergeCell ref="K267:L267"/>
    <mergeCell ref="K253:L253"/>
    <mergeCell ref="K28:K29"/>
    <mergeCell ref="I265:J265"/>
    <mergeCell ref="K265:L265"/>
    <mergeCell ref="K22:N22"/>
    <mergeCell ref="G24:J24"/>
    <mergeCell ref="K24:N24"/>
    <mergeCell ref="K25:N25"/>
    <mergeCell ref="K26:N26"/>
    <mergeCell ref="K20:N20"/>
    <mergeCell ref="Q250:Q251"/>
    <mergeCell ref="C263:D263"/>
    <mergeCell ref="E263:F263"/>
    <mergeCell ref="K263:L263"/>
    <mergeCell ref="I251:J251"/>
    <mergeCell ref="K251:L251"/>
  </mergeCells>
  <conditionalFormatting sqref="C15">
    <cfRule type="expression" dxfId="25" priority="18">
      <formula>$C$14=0</formula>
    </cfRule>
  </conditionalFormatting>
  <conditionalFormatting sqref="C16:C17">
    <cfRule type="expression" dxfId="24" priority="17">
      <formula>$C$14=0</formula>
    </cfRule>
  </conditionalFormatting>
  <conditionalFormatting sqref="J236:M236">
    <cfRule type="expression" dxfId="23" priority="16">
      <formula>$J$236="NA"</formula>
    </cfRule>
  </conditionalFormatting>
  <conditionalFormatting sqref="J237:M237">
    <cfRule type="expression" dxfId="22" priority="15">
      <formula>$J$237="NA"</formula>
    </cfRule>
  </conditionalFormatting>
  <conditionalFormatting sqref="J238:M238">
    <cfRule type="expression" dxfId="21" priority="14">
      <formula>$J$238="NA"</formula>
    </cfRule>
  </conditionalFormatting>
  <conditionalFormatting sqref="J239:M239">
    <cfRule type="expression" dxfId="20" priority="13">
      <formula>$J$239="NA"</formula>
    </cfRule>
  </conditionalFormatting>
  <conditionalFormatting sqref="J240:M240">
    <cfRule type="expression" dxfId="19" priority="12">
      <formula>$J$240="NA"</formula>
    </cfRule>
  </conditionalFormatting>
  <conditionalFormatting sqref="Q241">
    <cfRule type="expression" dxfId="18" priority="11">
      <formula>$P$241&lt;&gt;"No"</formula>
    </cfRule>
  </conditionalFormatting>
  <conditionalFormatting sqref="I17">
    <cfRule type="expression" dxfId="17" priority="10" stopIfTrue="1">
      <formula>$I$4="HI"</formula>
    </cfRule>
  </conditionalFormatting>
  <conditionalFormatting sqref="E17 I17">
    <cfRule type="expression" dxfId="16" priority="6" stopIfTrue="1">
      <formula>$I$4="Alaska"</formula>
    </cfRule>
    <cfRule type="expression" dxfId="15" priority="7" stopIfTrue="1">
      <formula>$I$4="AK"</formula>
    </cfRule>
    <cfRule type="expression" dxfId="14" priority="8" stopIfTrue="1">
      <formula>$I$4="Hawai'i"</formula>
    </cfRule>
    <cfRule type="expression" dxfId="13" priority="9" stopIfTrue="1">
      <formula>$I$4="Hawaii"</formula>
    </cfRule>
  </conditionalFormatting>
  <conditionalFormatting sqref="N17:V17">
    <cfRule type="expression" dxfId="12" priority="1" stopIfTrue="1">
      <formula>$I$4="Alaska"</formula>
    </cfRule>
    <cfRule type="expression" dxfId="11" priority="2" stopIfTrue="1">
      <formula>$I$4="AK"</formula>
    </cfRule>
    <cfRule type="expression" dxfId="10" priority="3" stopIfTrue="1">
      <formula>$I$4="Hawai'i"</formula>
    </cfRule>
    <cfRule type="expression" dxfId="9" priority="4" stopIfTrue="1">
      <formula>$I$4="Hawaii"</formula>
    </cfRule>
    <cfRule type="expression" dxfId="8" priority="5" stopIfTrue="1">
      <formula>$I$4="HI"</formula>
    </cfRule>
  </conditionalFormatting>
  <conditionalFormatting sqref="R241:W243">
    <cfRule type="expression" dxfId="7" priority="19">
      <formula>$P$241="No"</formula>
    </cfRule>
  </conditionalFormatting>
  <dataValidations count="5">
    <dataValidation type="list" allowBlank="1" showInputMessage="1" showErrorMessage="1" sqref="P236:S236">
      <formula1>$AO$17:$AO$19</formula1>
    </dataValidation>
    <dataValidation type="list" allowBlank="1" showInputMessage="1" showErrorMessage="1" sqref="J245">
      <formula1>$AL$11:$AL$13</formula1>
    </dataValidation>
    <dataValidation type="list" allowBlank="1" showInputMessage="1" showErrorMessage="1" sqref="C236">
      <formula1>$AN$11:$AN$13</formula1>
    </dataValidation>
    <dataValidation type="list" allowBlank="1" showInputMessage="1" showErrorMessage="1" sqref="P241">
      <formula1>$AO$22:$AO$24</formula1>
    </dataValidation>
    <dataValidation type="list" allowBlank="1" showInputMessage="1" showErrorMessage="1" sqref="S246 S250 S248">
      <formula1>$AO$18:$AO$19</formula1>
    </dataValidation>
  </dataValidations>
  <pageMargins left="0.25" right="0.25" top="1" bottom="0.5" header="0.5" footer="0.5"/>
  <pageSetup paperSize="5" scale="50" fitToHeight="5" orientation="landscape" r:id="rId1"/>
  <headerFooter alignWithMargins="0"/>
  <rowBreaks count="1" manualBreakCount="1">
    <brk id="231"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B1:CL197"/>
  <sheetViews>
    <sheetView showGridLines="0" zoomScale="90" zoomScaleNormal="90" workbookViewId="0">
      <selection activeCell="B9" sqref="B9"/>
    </sheetView>
  </sheetViews>
  <sheetFormatPr defaultColWidth="9.140625" defaultRowHeight="12"/>
  <cols>
    <col min="1" max="1" width="2" style="97" customWidth="1"/>
    <col min="2" max="3" width="14.140625" style="40" customWidth="1"/>
    <col min="4" max="4" width="12.5703125" style="40" customWidth="1"/>
    <col min="5" max="5" width="14.140625" style="40" customWidth="1"/>
    <col min="6" max="6" width="11.42578125" style="40" customWidth="1"/>
    <col min="7" max="8" width="12.28515625" style="40" customWidth="1"/>
    <col min="9" max="9" width="14.140625" style="40" customWidth="1"/>
    <col min="10" max="10" width="11.5703125" style="40" customWidth="1"/>
    <col min="11" max="11" width="14.140625" style="40" customWidth="1"/>
    <col min="12" max="13" width="12.140625" style="40" customWidth="1"/>
    <col min="14" max="14" width="7" style="97" customWidth="1"/>
    <col min="15" max="15" width="5.28515625" style="97" hidden="1" customWidth="1"/>
    <col min="16" max="16" width="10.7109375" style="97" hidden="1" customWidth="1"/>
    <col min="17" max="17" width="5.5703125" style="97" hidden="1" customWidth="1"/>
    <col min="18" max="18" width="9.140625" style="97" hidden="1" customWidth="1"/>
    <col min="19" max="21" width="5.5703125" style="98" hidden="1" customWidth="1"/>
    <col min="22" max="22" width="7.85546875" style="98" hidden="1" customWidth="1"/>
    <col min="23" max="24" width="5.5703125" style="98" hidden="1" customWidth="1"/>
    <col min="25" max="25" width="4" style="98" hidden="1" customWidth="1"/>
    <col min="26" max="26" width="148.42578125" style="97" hidden="1" customWidth="1"/>
    <col min="27" max="27" width="8.7109375" style="97" hidden="1" customWidth="1"/>
    <col min="28" max="28" width="29.140625" style="97" hidden="1" customWidth="1"/>
    <col min="29" max="29" width="5.5703125" style="97" hidden="1" customWidth="1"/>
    <col min="30" max="30" width="7.28515625" style="97" hidden="1" customWidth="1"/>
    <col min="31" max="32" width="9.140625" style="97" hidden="1" customWidth="1"/>
    <col min="33" max="33" width="13.5703125" style="97" hidden="1" customWidth="1"/>
    <col min="34" max="34" width="27.28515625" style="97" hidden="1" customWidth="1"/>
    <col min="35" max="35" width="14.5703125" style="97" hidden="1" customWidth="1"/>
    <col min="36" max="36" width="41.28515625" style="97" hidden="1" customWidth="1"/>
    <col min="37" max="37" width="20.28515625" style="97" hidden="1" customWidth="1"/>
    <col min="38" max="38" width="16.7109375" style="97" hidden="1" customWidth="1"/>
    <col min="39" max="39" width="22.42578125" style="97" hidden="1" customWidth="1"/>
    <col min="40" max="40" width="16.42578125" style="97" hidden="1" customWidth="1"/>
    <col min="41" max="41" width="44.5703125" style="97" hidden="1" customWidth="1"/>
    <col min="42" max="42" width="40.7109375" style="97" hidden="1" customWidth="1"/>
    <col min="43" max="43" width="18.85546875" style="97" hidden="1" customWidth="1"/>
    <col min="44" max="44" width="36.28515625" style="97" hidden="1" customWidth="1"/>
    <col min="45" max="90" width="9.140625" style="97" hidden="1" customWidth="1"/>
    <col min="91" max="164" width="9.140625" style="97" customWidth="1"/>
    <col min="165" max="16384" width="9.140625" style="97"/>
  </cols>
  <sheetData>
    <row r="1" spans="2:43" ht="15" customHeight="1">
      <c r="D1" s="1765" t="s">
        <v>849</v>
      </c>
      <c r="E1" s="1765"/>
      <c r="F1" s="1765"/>
      <c r="G1" s="1765"/>
      <c r="H1" s="1765"/>
      <c r="I1" s="1765"/>
      <c r="J1" s="1765"/>
      <c r="K1" s="1765"/>
      <c r="L1" s="1765"/>
      <c r="M1" s="1765"/>
    </row>
    <row r="2" spans="2:43" ht="13.5" customHeight="1">
      <c r="J2" s="1822" t="str">
        <f>'Project Info and Instructions'!O2</f>
        <v>Updated January 2018</v>
      </c>
      <c r="K2" s="1822"/>
      <c r="L2" s="1822"/>
      <c r="M2" s="1822"/>
    </row>
    <row r="3" spans="2:43" ht="6.75" customHeight="1">
      <c r="D3" s="97"/>
      <c r="E3" s="97"/>
      <c r="F3" s="97"/>
      <c r="G3" s="97"/>
      <c r="H3" s="97"/>
      <c r="I3" s="97"/>
      <c r="J3" s="97"/>
      <c r="K3" s="97"/>
      <c r="L3" s="97"/>
      <c r="M3" s="800"/>
    </row>
    <row r="4" spans="2:43" ht="15" customHeight="1">
      <c r="B4" s="456"/>
      <c r="C4" s="456"/>
      <c r="E4" s="2515" t="str">
        <f>IF('Project Info and Instructions'!W35&gt;0,"Input the project name and AHP Project Number at the top of the 'Instructions' tab.",'Project Info and Instructions'!F18&amp;" - "&amp;'Project Info and Instructions'!F16)</f>
        <v>Input the project name and AHP Project Number at the top of the 'Instructions' tab.</v>
      </c>
      <c r="F4" s="2515"/>
      <c r="G4" s="2515"/>
      <c r="H4" s="2515"/>
      <c r="I4" s="2515"/>
      <c r="J4" s="2515"/>
      <c r="K4" s="2515"/>
      <c r="L4" s="2515"/>
      <c r="M4" s="2515"/>
    </row>
    <row r="5" spans="2:43" ht="7.5" customHeight="1"/>
    <row r="6" spans="2:43" ht="30.75" customHeight="1">
      <c r="C6" s="1176"/>
      <c r="D6" s="1176"/>
      <c r="E6" s="1176"/>
      <c r="F6" s="1176"/>
      <c r="G6" s="1176"/>
      <c r="H6" s="1176"/>
      <c r="I6" s="1176"/>
      <c r="J6" s="1176"/>
      <c r="K6" s="1176"/>
      <c r="L6" s="1176"/>
      <c r="M6" s="1176"/>
      <c r="AF6" s="789" t="s">
        <v>28</v>
      </c>
      <c r="AG6" s="790" t="str">
        <f>'Project Info and Instructions'!$F$20</f>
        <v>Rental</v>
      </c>
      <c r="AH6" s="789" t="str">
        <f>'Project Info and Instructions'!$H$20</f>
        <v>Sponsor Provided Financing:</v>
      </c>
      <c r="AI6" s="118" t="str">
        <f>'Project Info and Instructions'!$K$20</f>
        <v>Select 'Yes' or 'No'</v>
      </c>
      <c r="AJ6" s="791" t="s">
        <v>885</v>
      </c>
      <c r="AK6" s="794" t="str">
        <f>'Project Info and Instructions'!$R$20</f>
        <v>Select One…</v>
      </c>
      <c r="AL6" s="792"/>
      <c r="AM6" s="792"/>
    </row>
    <row r="7" spans="2:43" ht="7.5" customHeight="1">
      <c r="AH7" s="793" t="s">
        <v>887</v>
      </c>
      <c r="AI7" s="118" t="str">
        <f>'Project Info and Instructions'!$F$22</f>
        <v>Select 'Yes' or 'No'</v>
      </c>
      <c r="AJ7" s="791" t="s">
        <v>885</v>
      </c>
      <c r="AK7" s="794" t="str">
        <f>'Project Info and Instructions'!$M$22</f>
        <v>Select One…</v>
      </c>
      <c r="AL7" s="789" t="s">
        <v>949</v>
      </c>
      <c r="AM7" s="118" t="str">
        <f>'Project Info and Instructions'!$Q$22</f>
        <v>Yes</v>
      </c>
    </row>
    <row r="8" spans="2:43" ht="3.75" customHeight="1">
      <c r="B8" s="8"/>
      <c r="C8" s="8"/>
      <c r="D8" s="452"/>
      <c r="G8" s="61"/>
      <c r="H8" s="61"/>
      <c r="I8" s="61"/>
      <c r="K8" s="1829" t="s">
        <v>855</v>
      </c>
      <c r="L8" s="956"/>
    </row>
    <row r="9" spans="2:43" ht="36.75" customHeight="1">
      <c r="B9" s="804" t="s">
        <v>937</v>
      </c>
      <c r="C9" s="804" t="s">
        <v>838</v>
      </c>
      <c r="D9" s="804" t="s">
        <v>832</v>
      </c>
      <c r="E9" s="804" t="s">
        <v>833</v>
      </c>
      <c r="F9" s="805" t="s">
        <v>852</v>
      </c>
      <c r="G9" s="804" t="s">
        <v>834</v>
      </c>
      <c r="H9" s="804" t="s">
        <v>836</v>
      </c>
      <c r="I9" s="1299" t="s">
        <v>1171</v>
      </c>
      <c r="J9" s="805" t="s">
        <v>902</v>
      </c>
      <c r="K9" s="1830"/>
      <c r="L9" s="956"/>
      <c r="AF9" s="97" t="s">
        <v>953</v>
      </c>
      <c r="AG9" s="97">
        <f>'Project Info and Instructions'!$F$16</f>
        <v>0</v>
      </c>
      <c r="AH9" s="795" t="s">
        <v>954</v>
      </c>
      <c r="AI9" s="97">
        <f>'Project Info and Instructions'!$F$18</f>
        <v>0</v>
      </c>
    </row>
    <row r="10" spans="2:43" ht="3" customHeight="1">
      <c r="B10" s="276"/>
      <c r="C10" s="276"/>
      <c r="D10" s="453"/>
      <c r="E10" s="453"/>
      <c r="F10" s="453"/>
      <c r="G10" s="453"/>
      <c r="H10" s="453"/>
      <c r="I10" s="453"/>
      <c r="J10" s="453"/>
      <c r="K10" s="419"/>
      <c r="L10" s="453"/>
      <c r="M10" s="453"/>
      <c r="N10" s="217"/>
    </row>
    <row r="11" spans="2:43" ht="3.75" customHeight="1">
      <c r="N11" s="217"/>
    </row>
    <row r="12" spans="2:43" ht="6" customHeight="1">
      <c r="B12" s="2411" t="str">
        <f>IF(P16&gt;0,"All validation warnings listed below must be addressed before submitting the AHP application and workbook to the Des Moines Bank.","No validation warnings detected.")</f>
        <v>All validation warnings listed below must be addressed before submitting the AHP application and workbook to the Des Moines Bank.</v>
      </c>
      <c r="C12" s="2412"/>
      <c r="D12" s="2412"/>
      <c r="E12" s="2412"/>
      <c r="F12" s="2412"/>
      <c r="G12" s="2412"/>
      <c r="H12" s="2412"/>
      <c r="I12" s="2412"/>
      <c r="J12" s="2412"/>
      <c r="K12" s="2412"/>
      <c r="L12" s="2412"/>
      <c r="M12" s="2413"/>
    </row>
    <row r="13" spans="2:43" ht="6" customHeight="1">
      <c r="B13" s="2414"/>
      <c r="C13" s="2415"/>
      <c r="D13" s="2415"/>
      <c r="E13" s="2415"/>
      <c r="F13" s="2415"/>
      <c r="G13" s="2415"/>
      <c r="H13" s="2415"/>
      <c r="I13" s="2415"/>
      <c r="J13" s="2415"/>
      <c r="K13" s="2415"/>
      <c r="L13" s="2415"/>
      <c r="M13" s="2416"/>
      <c r="AB13" s="97" t="s">
        <v>886</v>
      </c>
    </row>
    <row r="14" spans="2:43" ht="6" customHeight="1">
      <c r="B14" s="2417"/>
      <c r="C14" s="2418"/>
      <c r="D14" s="2418"/>
      <c r="E14" s="2418"/>
      <c r="F14" s="2418"/>
      <c r="G14" s="2418"/>
      <c r="H14" s="2418"/>
      <c r="I14" s="2418"/>
      <c r="J14" s="2418"/>
      <c r="K14" s="2418"/>
      <c r="L14" s="2418"/>
      <c r="M14" s="2419"/>
    </row>
    <row r="15" spans="2:43" ht="4.5" customHeight="1"/>
    <row r="16" spans="2:43" ht="16.5">
      <c r="B16" s="2514"/>
      <c r="C16" s="2514"/>
      <c r="D16" s="2514"/>
      <c r="E16" s="2514"/>
      <c r="F16" s="2514"/>
      <c r="G16" s="760"/>
      <c r="H16" s="760"/>
      <c r="I16" s="760"/>
      <c r="J16" s="760"/>
      <c r="K16" s="760"/>
      <c r="L16" s="760"/>
      <c r="M16" s="760"/>
      <c r="N16" s="457"/>
      <c r="O16" s="457"/>
      <c r="P16" s="457">
        <f>MAX(O17:O170)</f>
        <v>1</v>
      </c>
      <c r="AE16" s="97">
        <v>1</v>
      </c>
      <c r="AK16" s="120" t="s">
        <v>821</v>
      </c>
      <c r="AL16" s="120" t="s">
        <v>822</v>
      </c>
      <c r="AM16" s="120" t="s">
        <v>823</v>
      </c>
      <c r="AN16" s="120" t="s">
        <v>830</v>
      </c>
      <c r="AO16" s="120" t="s">
        <v>831</v>
      </c>
      <c r="AP16" s="120" t="s">
        <v>29</v>
      </c>
      <c r="AQ16" s="120" t="s">
        <v>732</v>
      </c>
    </row>
    <row r="17" spans="2:56" s="82" customFormat="1" ht="14.25" customHeight="1">
      <c r="B17" s="2406" t="str">
        <f t="shared" ref="B17" si="0">IF($T$17&gt;=Y17,(VLOOKUP(Y17,$V$17:$Z$190,5,FALSE))," ")</f>
        <v>Project Info &amp; Instructions - It was not indicated whether or not the rental project includes commercial space.</v>
      </c>
      <c r="C17" s="2406"/>
      <c r="D17" s="2406"/>
      <c r="E17" s="2406"/>
      <c r="F17" s="2406"/>
      <c r="G17" s="2406"/>
      <c r="H17" s="2406"/>
      <c r="I17" s="2406"/>
      <c r="J17" s="2406"/>
      <c r="K17" s="2406"/>
      <c r="L17" s="2406"/>
      <c r="M17" s="2406"/>
      <c r="O17" s="82">
        <f>IF(B17=" ",0,1)</f>
        <v>1</v>
      </c>
      <c r="Q17" s="82">
        <f>IF(B17=" ",1,0)</f>
        <v>0</v>
      </c>
      <c r="S17" s="46">
        <f>SUM(X:X)</f>
        <v>15</v>
      </c>
      <c r="T17" s="46">
        <f>MAX(V:V)</f>
        <v>15</v>
      </c>
      <c r="U17" s="46">
        <f t="shared" ref="U17:U80" si="1">RANK(V17,$V$17:$V$190)</f>
        <v>16</v>
      </c>
      <c r="V17" s="46">
        <f t="shared" ref="V17:V58" si="2">IF(X17&gt;0,SUMIF(Y:Y,"&lt;="&amp;AA17,X:X),0)</f>
        <v>0</v>
      </c>
      <c r="W17" s="46">
        <f>X17</f>
        <v>0</v>
      </c>
      <c r="X17" s="46">
        <f>IF(Z17=" ",0,1)</f>
        <v>0</v>
      </c>
      <c r="Y17" s="46">
        <v>1</v>
      </c>
      <c r="Z17" s="459" t="str">
        <f>IFERROR(IF(AND(AG6="Owner-occupied",AI6&lt;&gt;"Yes",AI6&lt;&gt;"No"),"Project Info &amp; Instructions- It was not indicated whether or not the sponsor is providing financing for the owner-occupied project."," ")," ")</f>
        <v xml:space="preserve"> </v>
      </c>
      <c r="AA17" s="82">
        <v>1</v>
      </c>
      <c r="AK17" s="108" t="str">
        <f>'A(1)-Sources Stmt.'!AQ75</f>
        <v/>
      </c>
      <c r="AL17" s="108" t="str">
        <f>'A(1)-Sources Stmt.'!AR75</f>
        <v/>
      </c>
      <c r="AM17" s="282" t="str">
        <f>'A(1)-Sources Stmt.'!AS75</f>
        <v/>
      </c>
      <c r="AN17" s="108" t="str">
        <f>'A(1)-Sources Stmt.'!AY53</f>
        <v/>
      </c>
      <c r="AO17" s="108" t="str">
        <f>'A(1)-Sources Stmt.'!AZ53</f>
        <v/>
      </c>
      <c r="AP17" s="108" t="str">
        <f>'A(1)-Sources Stmt.'!BA53</f>
        <v/>
      </c>
      <c r="AQ17" s="108" t="str">
        <f>'A(1)-Sources Stmt.'!BC75</f>
        <v/>
      </c>
      <c r="AR17" s="108" t="str">
        <f>'A(1)-Sources Stmt.'!BB53</f>
        <v/>
      </c>
      <c r="BD17" s="82">
        <f>COUNTIF(B17:B27,"&lt;&gt;"&amp;" ")</f>
        <v>11</v>
      </c>
    </row>
    <row r="18" spans="2:56" s="82" customFormat="1" ht="14.25" customHeight="1">
      <c r="B18" s="2406" t="str">
        <f t="shared" ref="B18:B49" si="3">IF($T$17&gt;=Y18,(VLOOKUP(Y18,$V$17:$Z$190,5,FALSE))," ")</f>
        <v>Project Info &amp; Instructions - It was not indicated whether the rental project is construction, acquisition, or rehabilitation.</v>
      </c>
      <c r="C18" s="2406"/>
      <c r="D18" s="2406"/>
      <c r="E18" s="2406"/>
      <c r="F18" s="2406"/>
      <c r="G18" s="2406"/>
      <c r="H18" s="2406"/>
      <c r="I18" s="2406"/>
      <c r="J18" s="2406"/>
      <c r="K18" s="2406"/>
      <c r="L18" s="2406"/>
      <c r="M18" s="2406"/>
      <c r="O18" s="82">
        <f t="shared" ref="O18:O81" si="4">IF(B18=" ",0,1)</f>
        <v>1</v>
      </c>
      <c r="Q18" s="82">
        <f t="shared" ref="Q18:Q27" si="5">IF(B18=" ",1,0)</f>
        <v>0</v>
      </c>
      <c r="S18" s="46"/>
      <c r="T18" s="46"/>
      <c r="U18" s="46">
        <f t="shared" si="1"/>
        <v>16</v>
      </c>
      <c r="V18" s="46">
        <f t="shared" si="2"/>
        <v>0</v>
      </c>
      <c r="W18" s="46">
        <f>IF(X18&gt;0,W17+X18,0)</f>
        <v>0</v>
      </c>
      <c r="X18" s="46">
        <f t="shared" ref="X18:X21" si="6">IF(Z18=" ",0,1)</f>
        <v>0</v>
      </c>
      <c r="Y18" s="46">
        <v>2</v>
      </c>
      <c r="Z18" s="459" t="str">
        <f>IFERROR(IF(AG6="Select Project Type","Project Info &amp; Instructions - A project type has not been selected."," ")," ")</f>
        <v xml:space="preserve"> </v>
      </c>
      <c r="AA18" s="82">
        <v>2</v>
      </c>
      <c r="AK18" s="108" t="str">
        <f>'A(1)-Sources Stmt.'!AQ94</f>
        <v/>
      </c>
      <c r="AL18" s="108" t="str">
        <f>'A(1)-Sources Stmt.'!AR94</f>
        <v/>
      </c>
      <c r="AM18" s="282" t="str">
        <f>'A(1)-Sources Stmt.'!AS94</f>
        <v/>
      </c>
      <c r="AN18" s="108" t="str">
        <f>'A(1)-Sources Stmt.'!AY75</f>
        <v/>
      </c>
      <c r="AO18" s="108" t="str">
        <f>'A(1)-Sources Stmt.'!AZ75</f>
        <v/>
      </c>
      <c r="AP18" s="108" t="str">
        <f>'A(1)-Sources Stmt.'!BA75</f>
        <v/>
      </c>
      <c r="AQ18" s="108" t="str">
        <f>'A(1)-Sources Stmt.'!BC94</f>
        <v/>
      </c>
      <c r="AR18" s="108" t="str">
        <f>'A(1)-Sources Stmt.'!BB75</f>
        <v/>
      </c>
    </row>
    <row r="19" spans="2:56" s="82" customFormat="1" ht="14.25" customHeight="1">
      <c r="B19" s="2406" t="str">
        <f t="shared" si="3"/>
        <v>Project Info &amp; Instructions - A project name has not been provided.</v>
      </c>
      <c r="C19" s="2406"/>
      <c r="D19" s="2406"/>
      <c r="E19" s="2406"/>
      <c r="F19" s="2406"/>
      <c r="G19" s="2406"/>
      <c r="H19" s="2406"/>
      <c r="I19" s="2406"/>
      <c r="J19" s="2406"/>
      <c r="K19" s="2406"/>
      <c r="L19" s="2406"/>
      <c r="M19" s="2406"/>
      <c r="O19" s="82">
        <f t="shared" si="4"/>
        <v>1</v>
      </c>
      <c r="Q19" s="82">
        <f t="shared" si="5"/>
        <v>0</v>
      </c>
      <c r="S19" s="46"/>
      <c r="T19" s="46"/>
      <c r="U19" s="46">
        <f t="shared" si="1"/>
        <v>15</v>
      </c>
      <c r="V19" s="46">
        <f t="shared" si="2"/>
        <v>1</v>
      </c>
      <c r="W19" s="46">
        <f t="shared" ref="W19:W22" si="7">IF(X19&gt;0,W18+X19,0)</f>
        <v>1</v>
      </c>
      <c r="X19" s="46">
        <f t="shared" si="6"/>
        <v>1</v>
      </c>
      <c r="Y19" s="46">
        <v>3</v>
      </c>
      <c r="Z19" s="459" t="str">
        <f>IFERROR(IF(AND(AG6="Rental",AI7="Select 'Yes' or 'No'"),"Project Info &amp; Instructions - It was not indicated whether or not the rental project includes commercial space."," ")," ")</f>
        <v>Project Info &amp; Instructions - It was not indicated whether or not the rental project includes commercial space.</v>
      </c>
      <c r="AA19" s="82">
        <v>3</v>
      </c>
      <c r="AK19" s="82" t="str">
        <f>'A(1)-Sources Stmt.'!AQ112</f>
        <v/>
      </c>
      <c r="AL19" s="108" t="str">
        <f>'A(1)-Sources Stmt.'!AR112</f>
        <v/>
      </c>
      <c r="AM19" s="108" t="str">
        <f>'A(1)-Sources Stmt.'!AS94</f>
        <v/>
      </c>
      <c r="AN19" s="108" t="str">
        <f>'A(1)-Sources Stmt.'!AY94</f>
        <v/>
      </c>
      <c r="AO19" s="108" t="str">
        <f>'A(1)-Sources Stmt.'!AZ94</f>
        <v/>
      </c>
      <c r="AP19" s="108" t="str">
        <f>'A(1)-Sources Stmt.'!BA94</f>
        <v/>
      </c>
      <c r="AQ19" s="108" t="str">
        <f>'A(1)-Sources Stmt.'!BC53</f>
        <v/>
      </c>
      <c r="AR19" s="108" t="str">
        <f>'A(1)-Sources Stmt.'!BB94</f>
        <v/>
      </c>
    </row>
    <row r="20" spans="2:56" s="82" customFormat="1" ht="14.25" customHeight="1">
      <c r="B20" s="2406" t="str">
        <f t="shared" si="3"/>
        <v>Project Info &amp; Instructions - The AHP application number has not been provided.</v>
      </c>
      <c r="C20" s="2406"/>
      <c r="D20" s="2406"/>
      <c r="E20" s="2406"/>
      <c r="F20" s="2406"/>
      <c r="G20" s="2406"/>
      <c r="H20" s="2406"/>
      <c r="I20" s="2406"/>
      <c r="J20" s="2406"/>
      <c r="K20" s="2406"/>
      <c r="L20" s="2406"/>
      <c r="M20" s="2406"/>
      <c r="O20" s="82">
        <f t="shared" si="4"/>
        <v>1</v>
      </c>
      <c r="Q20" s="82">
        <f t="shared" si="5"/>
        <v>0</v>
      </c>
      <c r="S20" s="46"/>
      <c r="T20" s="46"/>
      <c r="U20" s="46">
        <f t="shared" si="1"/>
        <v>14</v>
      </c>
      <c r="V20" s="46">
        <f t="shared" si="2"/>
        <v>2</v>
      </c>
      <c r="W20" s="46">
        <f t="shared" si="7"/>
        <v>2</v>
      </c>
      <c r="X20" s="46">
        <f t="shared" si="6"/>
        <v>1</v>
      </c>
      <c r="Y20" s="46">
        <v>4</v>
      </c>
      <c r="Z20" s="459" t="str">
        <f>IFERROR(IF(AND(AG6="Rental",AK7="Select One…"),"Project Info &amp; Instructions - It was not indicated whether the rental project is construction, acquisition, or rehabilitation."," ")," ")</f>
        <v>Project Info &amp; Instructions - It was not indicated whether the rental project is construction, acquisition, or rehabilitation.</v>
      </c>
      <c r="AA20" s="82">
        <v>4</v>
      </c>
      <c r="AK20" s="761">
        <f>COUNTIF(AK17:AK19,"An interest rate was not indicated for one or permanent loans listed on the Sources Statement.")</f>
        <v>0</v>
      </c>
      <c r="AL20" s="761">
        <f>COUNTIF(AL17:AL19,"A loan term (in months) was not indicated for one or permanent loans listed on the Sources Statement.")</f>
        <v>0</v>
      </c>
      <c r="AM20" s="761">
        <f>COUNTIF(AM17:AM18,"A loan amortization (in months) was not indicated for one or permanent loans listed on the Sources Statement.")</f>
        <v>0</v>
      </c>
      <c r="AN20" s="761">
        <f>COUNTIF(AN17:AN19,"A source type was not selected for all listed sources.")</f>
        <v>0</v>
      </c>
      <c r="AO20" s="761">
        <f>COUNTIF(AO17:AO19,"A source description was not selected for all listed sources.")</f>
        <v>0</v>
      </c>
      <c r="AP20" s="761">
        <f>COUNTIF(AP17:AP19,"A source status was not selected for all listed sources.")</f>
        <v>0</v>
      </c>
      <c r="AQ20" s="761">
        <f>COUNTIF(AQ17:AQ19,"A source amount must be indicated for all listed sources.")</f>
        <v>0</v>
      </c>
      <c r="AR20" s="761">
        <f>COUNTIF(AR17:AR19,"A source name must be provided for all sources.")</f>
        <v>0</v>
      </c>
    </row>
    <row r="21" spans="2:56" s="82" customFormat="1" ht="14.25" customHeight="1">
      <c r="B21" s="2406" t="str">
        <f t="shared" si="3"/>
        <v>Uses Statement - Total Housing and/or commercial square feet has not been indicated.</v>
      </c>
      <c r="C21" s="2406"/>
      <c r="D21" s="2406"/>
      <c r="E21" s="2406"/>
      <c r="F21" s="2406"/>
      <c r="G21" s="2406"/>
      <c r="H21" s="2406"/>
      <c r="I21" s="2406"/>
      <c r="J21" s="2406"/>
      <c r="K21" s="2406"/>
      <c r="L21" s="2406"/>
      <c r="M21" s="2406"/>
      <c r="O21" s="82">
        <f t="shared" si="4"/>
        <v>1</v>
      </c>
      <c r="Q21" s="82">
        <f t="shared" si="5"/>
        <v>0</v>
      </c>
      <c r="S21" s="46"/>
      <c r="T21" s="46"/>
      <c r="U21" s="46">
        <f t="shared" si="1"/>
        <v>16</v>
      </c>
      <c r="V21" s="46">
        <f t="shared" si="2"/>
        <v>0</v>
      </c>
      <c r="W21" s="46">
        <f t="shared" si="7"/>
        <v>0</v>
      </c>
      <c r="X21" s="46">
        <f t="shared" si="6"/>
        <v>0</v>
      </c>
      <c r="Y21" s="46">
        <v>5</v>
      </c>
      <c r="Z21" s="459" t="str">
        <f>IFERROR(IF(AND(AG6="Rental",AK7="Rehabilitation",AM7="Select 'Yes' or 'No'"),"Project Info &amp; Instructions - It was not indicated whether the rental project is an occupied rehabilitation."," ")," ")</f>
        <v xml:space="preserve"> </v>
      </c>
      <c r="AA21" s="82">
        <v>5</v>
      </c>
      <c r="AB21" s="46"/>
      <c r="AC21" s="46"/>
    </row>
    <row r="22" spans="2:56" s="82" customFormat="1" ht="14.25" customHeight="1">
      <c r="B22" s="2406" t="str">
        <f t="shared" si="3"/>
        <v>Rent Schedule - A state has not been selected.</v>
      </c>
      <c r="C22" s="2406"/>
      <c r="D22" s="2406"/>
      <c r="E22" s="2406"/>
      <c r="F22" s="2406"/>
      <c r="G22" s="2406"/>
      <c r="H22" s="2406"/>
      <c r="I22" s="2406"/>
      <c r="J22" s="2406"/>
      <c r="K22" s="2406"/>
      <c r="L22" s="2406"/>
      <c r="M22" s="2406"/>
      <c r="O22" s="82">
        <f t="shared" si="4"/>
        <v>1</v>
      </c>
      <c r="Q22" s="82">
        <f t="shared" si="5"/>
        <v>0</v>
      </c>
      <c r="S22" s="46"/>
      <c r="T22" s="46"/>
      <c r="U22" s="46">
        <f t="shared" si="1"/>
        <v>16</v>
      </c>
      <c r="V22" s="46">
        <f t="shared" si="2"/>
        <v>0</v>
      </c>
      <c r="W22" s="46">
        <f t="shared" si="7"/>
        <v>0</v>
      </c>
      <c r="X22" s="46">
        <f>IF(Z22=" ",0,1)</f>
        <v>0</v>
      </c>
      <c r="Y22" s="46">
        <v>6</v>
      </c>
      <c r="Z22" s="459" t="str">
        <f>IFERROR(IF(AND(AG6="Owner-occupied",AK6="Select One…"),"Project Info &amp; Instructions - It was not indicated whether the Owner-occupied project is construction, acquisition, or rehabilitation."," ")," ")</f>
        <v xml:space="preserve"> </v>
      </c>
      <c r="AA22" s="82">
        <v>6</v>
      </c>
    </row>
    <row r="23" spans="2:56" s="82" customFormat="1" ht="14.25" customHeight="1">
      <c r="B23" s="2406" t="str">
        <f t="shared" si="3"/>
        <v>Rent Schedule - A county has not been selected.</v>
      </c>
      <c r="C23" s="2406"/>
      <c r="D23" s="2406"/>
      <c r="E23" s="2406"/>
      <c r="F23" s="2406"/>
      <c r="G23" s="2406"/>
      <c r="H23" s="2406"/>
      <c r="I23" s="2406"/>
      <c r="J23" s="2406"/>
      <c r="K23" s="2406"/>
      <c r="L23" s="2406"/>
      <c r="M23" s="2406"/>
      <c r="O23" s="82">
        <f t="shared" si="4"/>
        <v>1</v>
      </c>
      <c r="Q23" s="82">
        <f t="shared" si="5"/>
        <v>0</v>
      </c>
      <c r="S23" s="46"/>
      <c r="T23" s="46"/>
      <c r="U23" s="46">
        <f t="shared" si="1"/>
        <v>13</v>
      </c>
      <c r="V23" s="46">
        <f t="shared" si="2"/>
        <v>3</v>
      </c>
      <c r="W23" s="46">
        <f t="shared" ref="W23:W46" si="8">IF(X23&gt;0,W22+X23,0)</f>
        <v>1</v>
      </c>
      <c r="X23" s="46">
        <f t="shared" ref="X23:X46" si="9">IF(Z23=" ",0,1)</f>
        <v>1</v>
      </c>
      <c r="Y23" s="46">
        <v>7</v>
      </c>
      <c r="Z23" s="459" t="str">
        <f>IFERROR(IF(AG9=0,"Project Info &amp; Instructions - A project name has not been provided."," ")," ")</f>
        <v>Project Info &amp; Instructions - A project name has not been provided.</v>
      </c>
      <c r="AA23" s="82">
        <v>7</v>
      </c>
      <c r="AH23" s="82" t="s">
        <v>946</v>
      </c>
      <c r="AI23" s="82" t="s">
        <v>947</v>
      </c>
    </row>
    <row r="24" spans="2:56" s="82" customFormat="1" ht="14.25" customHeight="1">
      <c r="B24" s="2406" t="str">
        <f t="shared" si="3"/>
        <v>Rent Schedule - Number of units reserved for special needs households has not been indicated.</v>
      </c>
      <c r="C24" s="2406"/>
      <c r="D24" s="2406"/>
      <c r="E24" s="2406"/>
      <c r="F24" s="2406"/>
      <c r="G24" s="2406"/>
      <c r="H24" s="2406"/>
      <c r="I24" s="2406"/>
      <c r="J24" s="2406"/>
      <c r="K24" s="2406"/>
      <c r="L24" s="2406"/>
      <c r="M24" s="2406"/>
      <c r="O24" s="82">
        <f t="shared" si="4"/>
        <v>1</v>
      </c>
      <c r="Q24" s="82">
        <f t="shared" si="5"/>
        <v>0</v>
      </c>
      <c r="S24" s="46"/>
      <c r="T24" s="46"/>
      <c r="U24" s="46">
        <f t="shared" si="1"/>
        <v>12</v>
      </c>
      <c r="V24" s="46">
        <f t="shared" si="2"/>
        <v>4</v>
      </c>
      <c r="W24" s="46">
        <f t="shared" si="8"/>
        <v>2</v>
      </c>
      <c r="X24" s="46">
        <f t="shared" si="9"/>
        <v>1</v>
      </c>
      <c r="Y24" s="46">
        <v>8</v>
      </c>
      <c r="Z24" s="459" t="str">
        <f>IFERROR(IF(AI9=0,"Project Info &amp; Instructions - The AHP application number has not been provided."," ")," ")</f>
        <v>Project Info &amp; Instructions - The AHP application number has not been provided.</v>
      </c>
      <c r="AA24" s="82">
        <v>8</v>
      </c>
      <c r="AH24" s="82" t="str">
        <f>'Project Info and Instructions'!$F$22</f>
        <v>Select 'Yes' or 'No'</v>
      </c>
      <c r="AI24" s="82">
        <f>SUM('A(1)-Sources Stmt.'!O35:O49)</f>
        <v>0</v>
      </c>
    </row>
    <row r="25" spans="2:56" s="82" customFormat="1" ht="14.25" customHeight="1">
      <c r="B25" s="2406" t="str">
        <f t="shared" si="3"/>
        <v>Rent Schedule - Number of units reserved for homeless households has not been indicated.</v>
      </c>
      <c r="C25" s="2406"/>
      <c r="D25" s="2406"/>
      <c r="E25" s="2406"/>
      <c r="F25" s="2406"/>
      <c r="G25" s="2406"/>
      <c r="H25" s="2406"/>
      <c r="I25" s="2406"/>
      <c r="J25" s="2406"/>
      <c r="K25" s="2406"/>
      <c r="L25" s="2406"/>
      <c r="M25" s="2406"/>
      <c r="O25" s="82">
        <f t="shared" si="4"/>
        <v>1</v>
      </c>
      <c r="Q25" s="82">
        <f t="shared" si="5"/>
        <v>0</v>
      </c>
      <c r="S25" s="46"/>
      <c r="T25" s="46"/>
      <c r="U25" s="46">
        <f t="shared" si="1"/>
        <v>16</v>
      </c>
      <c r="V25" s="46">
        <f t="shared" si="2"/>
        <v>0</v>
      </c>
      <c r="W25" s="46">
        <f t="shared" si="8"/>
        <v>0</v>
      </c>
      <c r="X25" s="46">
        <f t="shared" si="9"/>
        <v>0</v>
      </c>
      <c r="Y25" s="46">
        <v>9</v>
      </c>
      <c r="Z25" s="459" t="str">
        <f>IFERROR(IF(AK20&gt;0,"Sources Statement - An interest rate was not indicated for one or more loans listed on the Sources Statement."," ")," ")</f>
        <v xml:space="preserve"> </v>
      </c>
      <c r="AA25" s="82">
        <v>9</v>
      </c>
    </row>
    <row r="26" spans="2:56" s="82" customFormat="1" ht="14.25" customHeight="1">
      <c r="B26" s="2406" t="str">
        <f t="shared" si="3"/>
        <v>Rental Operating ProForma - A vacancy rate has not been indicated.</v>
      </c>
      <c r="C26" s="2406"/>
      <c r="D26" s="2406"/>
      <c r="E26" s="2406"/>
      <c r="F26" s="2406"/>
      <c r="G26" s="2406"/>
      <c r="H26" s="2406"/>
      <c r="I26" s="2406"/>
      <c r="J26" s="2406"/>
      <c r="K26" s="2406"/>
      <c r="L26" s="2406"/>
      <c r="M26" s="2406"/>
      <c r="O26" s="82">
        <f t="shared" si="4"/>
        <v>1</v>
      </c>
      <c r="Q26" s="82">
        <f t="shared" si="5"/>
        <v>0</v>
      </c>
      <c r="U26" s="46">
        <f t="shared" si="1"/>
        <v>16</v>
      </c>
      <c r="V26" s="46">
        <f t="shared" si="2"/>
        <v>0</v>
      </c>
      <c r="W26" s="46">
        <f t="shared" si="8"/>
        <v>0</v>
      </c>
      <c r="X26" s="46">
        <f t="shared" si="9"/>
        <v>0</v>
      </c>
      <c r="Y26" s="46">
        <v>10</v>
      </c>
      <c r="Z26" s="459" t="str">
        <f>IFERROR(IF(AL20&gt;0,"Sources Statement - A loan term (in months) was not indicated for one or more loans listed on the Sources Statement."," ")," ")</f>
        <v xml:space="preserve"> </v>
      </c>
      <c r="AA26" s="82">
        <v>10</v>
      </c>
    </row>
    <row r="27" spans="2:56" s="82" customFormat="1" ht="14.25" customHeight="1">
      <c r="B27" s="2406" t="str">
        <f t="shared" si="3"/>
        <v>Feasibility Analysis - It was not indicated whether or not the Sources Statement includes estimates of all funds proposed, approved, and received.</v>
      </c>
      <c r="C27" s="2406"/>
      <c r="D27" s="2406"/>
      <c r="E27" s="2406"/>
      <c r="F27" s="2406"/>
      <c r="G27" s="2406"/>
      <c r="H27" s="2406"/>
      <c r="I27" s="2406"/>
      <c r="J27" s="2406"/>
      <c r="K27" s="2406"/>
      <c r="L27" s="2406"/>
      <c r="M27" s="2406"/>
      <c r="O27" s="82">
        <f t="shared" si="4"/>
        <v>1</v>
      </c>
      <c r="Q27" s="82">
        <f t="shared" si="5"/>
        <v>0</v>
      </c>
      <c r="U27" s="46">
        <f t="shared" si="1"/>
        <v>16</v>
      </c>
      <c r="V27" s="46">
        <f t="shared" si="2"/>
        <v>0</v>
      </c>
      <c r="W27" s="46">
        <f t="shared" si="8"/>
        <v>0</v>
      </c>
      <c r="X27" s="46">
        <f t="shared" si="9"/>
        <v>0</v>
      </c>
      <c r="Y27" s="46">
        <v>11</v>
      </c>
      <c r="Z27" s="459" t="str">
        <f>IFERROR(IF(AM20&gt;0,"Sources Statement - A loan amortization (in months) was not indicated for one or more non-deferred permanent loans listed on the Sources Statement."," ")," ")</f>
        <v xml:space="preserve"> </v>
      </c>
      <c r="AA27" s="82">
        <v>11</v>
      </c>
    </row>
    <row r="28" spans="2:56" s="82" customFormat="1" ht="14.25" customHeight="1">
      <c r="B28" s="2406" t="str">
        <f t="shared" si="3"/>
        <v>Feasibility Analysis - A state has not been selected for the RSMeans cost reasonableness benchmark.</v>
      </c>
      <c r="C28" s="2406"/>
      <c r="D28" s="2406"/>
      <c r="E28" s="2406"/>
      <c r="F28" s="2406"/>
      <c r="G28" s="2406"/>
      <c r="H28" s="2406"/>
      <c r="I28" s="2406"/>
      <c r="J28" s="2406"/>
      <c r="K28" s="2406"/>
      <c r="L28" s="2406"/>
      <c r="M28" s="2406"/>
      <c r="O28" s="82">
        <f t="shared" si="4"/>
        <v>1</v>
      </c>
      <c r="S28" s="46"/>
      <c r="T28" s="46"/>
      <c r="U28" s="46">
        <f t="shared" si="1"/>
        <v>16</v>
      </c>
      <c r="V28" s="46">
        <f t="shared" si="2"/>
        <v>0</v>
      </c>
      <c r="W28" s="46">
        <f t="shared" si="8"/>
        <v>0</v>
      </c>
      <c r="X28" s="46">
        <f t="shared" si="9"/>
        <v>0</v>
      </c>
      <c r="Y28" s="46">
        <v>12</v>
      </c>
      <c r="Z28" s="459" t="str">
        <f>IFERROR(IF(AN20&gt;0,"Sources Statement - A source type was not selected for all listed sources."," ")," ")</f>
        <v xml:space="preserve"> </v>
      </c>
      <c r="AA28" s="82">
        <v>12</v>
      </c>
      <c r="AB28" s="762" t="str">
        <f>'A(2)-Uses Statement'!M82</f>
        <v xml:space="preserve"> </v>
      </c>
    </row>
    <row r="29" spans="2:56" s="82" customFormat="1" ht="14.25" customHeight="1">
      <c r="B29" s="2406" t="str">
        <f t="shared" si="3"/>
        <v>Feasibility Analysis - The housing type has not been selected for the RSMeans cost reasonableness benchmark.</v>
      </c>
      <c r="C29" s="2406"/>
      <c r="D29" s="2406"/>
      <c r="E29" s="2406"/>
      <c r="F29" s="2406"/>
      <c r="G29" s="2406"/>
      <c r="H29" s="2406"/>
      <c r="I29" s="2406"/>
      <c r="J29" s="2406"/>
      <c r="K29" s="2406"/>
      <c r="L29" s="2406"/>
      <c r="M29" s="2406"/>
      <c r="N29" s="763"/>
      <c r="O29" s="82">
        <f t="shared" si="4"/>
        <v>1</v>
      </c>
      <c r="P29" s="763"/>
      <c r="S29" s="46"/>
      <c r="T29" s="46"/>
      <c r="U29" s="46">
        <f t="shared" si="1"/>
        <v>16</v>
      </c>
      <c r="V29" s="46">
        <f t="shared" si="2"/>
        <v>0</v>
      </c>
      <c r="W29" s="46">
        <f t="shared" si="8"/>
        <v>0</v>
      </c>
      <c r="X29" s="46">
        <f t="shared" si="9"/>
        <v>0</v>
      </c>
      <c r="Y29" s="46">
        <v>13</v>
      </c>
      <c r="Z29" s="459" t="str">
        <f>IFERROR(IF(AO20&gt;0,"Sources Statement - A source description was not selected for all listed sources."," ")," ")</f>
        <v xml:space="preserve"> </v>
      </c>
      <c r="AA29" s="82">
        <v>13</v>
      </c>
      <c r="AE29" s="46" t="s">
        <v>840</v>
      </c>
      <c r="AF29" s="46" t="s">
        <v>841</v>
      </c>
    </row>
    <row r="30" spans="2:56" s="82" customFormat="1" ht="14.25" customHeight="1">
      <c r="B30" s="2406" t="str">
        <f t="shared" si="3"/>
        <v>Feasibility Analysis - Construction, rehabilitation, or tax credit has not been selected for the soft cost reasonableness benchmark.</v>
      </c>
      <c r="C30" s="2406"/>
      <c r="D30" s="2406"/>
      <c r="E30" s="2406"/>
      <c r="F30" s="2406"/>
      <c r="G30" s="2406"/>
      <c r="H30" s="2406"/>
      <c r="I30" s="2406"/>
      <c r="J30" s="2406"/>
      <c r="K30" s="2406"/>
      <c r="L30" s="2406"/>
      <c r="M30" s="2406"/>
      <c r="O30" s="82">
        <f t="shared" si="4"/>
        <v>1</v>
      </c>
      <c r="S30" s="46"/>
      <c r="T30" s="46"/>
      <c r="U30" s="46">
        <f t="shared" si="1"/>
        <v>16</v>
      </c>
      <c r="V30" s="46">
        <f t="shared" si="2"/>
        <v>0</v>
      </c>
      <c r="W30" s="46">
        <f t="shared" si="8"/>
        <v>0</v>
      </c>
      <c r="X30" s="46">
        <f t="shared" si="9"/>
        <v>0</v>
      </c>
      <c r="Y30" s="46">
        <v>14</v>
      </c>
      <c r="Z30" s="459" t="str">
        <f>IFERROR(IF(AP20&gt;0,"Sources Statement - A source status was not selected for all listed sources."," ")," ")</f>
        <v xml:space="preserve"> </v>
      </c>
      <c r="AA30" s="82">
        <v>14</v>
      </c>
      <c r="AE30" s="764">
        <f>'A(1)-Sources Stmt.'!F50</f>
        <v>0</v>
      </c>
      <c r="AF30" s="765">
        <f>'A(2)-Uses Statement'!M81</f>
        <v>0</v>
      </c>
      <c r="BD30" s="82">
        <f>COUNTIF(B30:B36,"&lt;&gt;"&amp;" ")</f>
        <v>2</v>
      </c>
    </row>
    <row r="31" spans="2:56" s="82" customFormat="1" ht="14.25" customHeight="1">
      <c r="B31" s="2406" t="str">
        <f t="shared" si="3"/>
        <v>Sources &amp; Uses Analysis - An as of date has not been provided.</v>
      </c>
      <c r="C31" s="2406"/>
      <c r="D31" s="2406"/>
      <c r="E31" s="2406"/>
      <c r="F31" s="2406"/>
      <c r="G31" s="2406"/>
      <c r="H31" s="2406"/>
      <c r="I31" s="2406"/>
      <c r="J31" s="2406"/>
      <c r="K31" s="2406"/>
      <c r="L31" s="2406"/>
      <c r="M31" s="2406"/>
      <c r="O31" s="82">
        <f t="shared" si="4"/>
        <v>1</v>
      </c>
      <c r="S31" s="46"/>
      <c r="T31" s="46"/>
      <c r="U31" s="46">
        <f t="shared" si="1"/>
        <v>16</v>
      </c>
      <c r="V31" s="46">
        <f t="shared" si="2"/>
        <v>0</v>
      </c>
      <c r="W31" s="46">
        <f t="shared" si="8"/>
        <v>0</v>
      </c>
      <c r="X31" s="46">
        <f t="shared" si="9"/>
        <v>0</v>
      </c>
      <c r="Y31" s="46">
        <v>15</v>
      </c>
      <c r="Z31" s="459" t="str">
        <f>IFERROR(IF(AQ20&gt;0,"Sources Statement - A source amount must be indicated for all listed sources."," ")," ")</f>
        <v xml:space="preserve"> </v>
      </c>
      <c r="AA31" s="82">
        <v>15</v>
      </c>
    </row>
    <row r="32" spans="2:56" s="82" customFormat="1" ht="14.25" customHeight="1">
      <c r="B32" s="2406" t="str">
        <f t="shared" si="3"/>
        <v xml:space="preserve"> </v>
      </c>
      <c r="C32" s="2406"/>
      <c r="D32" s="2406"/>
      <c r="E32" s="2406"/>
      <c r="F32" s="2406"/>
      <c r="G32" s="2406"/>
      <c r="H32" s="2406"/>
      <c r="I32" s="2406"/>
      <c r="J32" s="2406"/>
      <c r="K32" s="2406"/>
      <c r="L32" s="2406"/>
      <c r="M32" s="2406"/>
      <c r="O32" s="82">
        <f t="shared" si="4"/>
        <v>0</v>
      </c>
      <c r="S32" s="46"/>
      <c r="T32" s="46"/>
      <c r="U32" s="46">
        <f t="shared" si="1"/>
        <v>16</v>
      </c>
      <c r="V32" s="46">
        <f t="shared" si="2"/>
        <v>0</v>
      </c>
      <c r="W32" s="46">
        <f t="shared" si="8"/>
        <v>0</v>
      </c>
      <c r="X32" s="46">
        <f t="shared" si="9"/>
        <v>0</v>
      </c>
      <c r="Y32" s="46">
        <v>16</v>
      </c>
      <c r="Z32" s="459" t="str">
        <f>IFERROR(IF(AND('Project Info and Instructions'!F20="Owner-occupied",'A(1)-Sources Stmt.'!H15="Yes",'A(1)-Sources Stmt.'!F50&lt;&gt;'A(1)-Sources Stmt.'!F73),"Sources Statement - Total permanent financing with NPV Sources Statement must equal total permanent financing without NPV Sources Statement"," ")," ")</f>
        <v xml:space="preserve"> </v>
      </c>
      <c r="AA32" s="82">
        <v>16</v>
      </c>
    </row>
    <row r="33" spans="2:56" s="82" customFormat="1" ht="14.25" customHeight="1">
      <c r="B33" s="2406" t="str">
        <f t="shared" si="3"/>
        <v xml:space="preserve"> </v>
      </c>
      <c r="C33" s="2406"/>
      <c r="D33" s="2406"/>
      <c r="E33" s="2406"/>
      <c r="F33" s="2406"/>
      <c r="G33" s="2406"/>
      <c r="H33" s="2406"/>
      <c r="I33" s="2406"/>
      <c r="J33" s="2406"/>
      <c r="K33" s="2406"/>
      <c r="L33" s="2406"/>
      <c r="M33" s="2406"/>
      <c r="O33" s="82">
        <f t="shared" si="4"/>
        <v>0</v>
      </c>
      <c r="S33" s="46"/>
      <c r="T33" s="46"/>
      <c r="U33" s="46">
        <f t="shared" si="1"/>
        <v>16</v>
      </c>
      <c r="V33" s="46">
        <f t="shared" si="2"/>
        <v>0</v>
      </c>
      <c r="W33" s="46">
        <f t="shared" si="8"/>
        <v>0</v>
      </c>
      <c r="X33" s="46">
        <f t="shared" si="9"/>
        <v>0</v>
      </c>
      <c r="Y33" s="46">
        <v>17</v>
      </c>
      <c r="Z33" s="762" t="str">
        <f>IFERROR(IF(AR20&gt;0,"Sources Statement - A source name was not provided for all sources."," ")," ")</f>
        <v xml:space="preserve"> </v>
      </c>
      <c r="AA33" s="82">
        <v>17</v>
      </c>
    </row>
    <row r="34" spans="2:56" s="82" customFormat="1" ht="14.25" customHeight="1">
      <c r="B34" s="2406" t="str">
        <f t="shared" si="3"/>
        <v xml:space="preserve"> </v>
      </c>
      <c r="C34" s="2406"/>
      <c r="D34" s="2406"/>
      <c r="E34" s="2406"/>
      <c r="F34" s="2406"/>
      <c r="G34" s="2406"/>
      <c r="H34" s="2406"/>
      <c r="I34" s="2406"/>
      <c r="J34" s="2406"/>
      <c r="K34" s="2406"/>
      <c r="L34" s="2406"/>
      <c r="M34" s="2406"/>
      <c r="O34" s="82">
        <f t="shared" si="4"/>
        <v>0</v>
      </c>
      <c r="S34" s="46"/>
      <c r="T34" s="46"/>
      <c r="U34" s="46">
        <f t="shared" si="1"/>
        <v>16</v>
      </c>
      <c r="V34" s="46">
        <f t="shared" si="2"/>
        <v>0</v>
      </c>
      <c r="W34" s="46">
        <f t="shared" si="8"/>
        <v>0</v>
      </c>
      <c r="X34" s="46">
        <f t="shared" si="9"/>
        <v>0</v>
      </c>
      <c r="Y34" s="46">
        <v>18</v>
      </c>
      <c r="Z34" s="762" t="str">
        <f>IFERROR(IF(AND(AH24="Yes",AI24=0),"Sources Statement - Project includes commercial space but the percent of permanent financing allocated to commercial space was not indicated."," ")," ")</f>
        <v xml:space="preserve"> </v>
      </c>
      <c r="AA34" s="82">
        <v>18</v>
      </c>
    </row>
    <row r="35" spans="2:56" s="82" customFormat="1" ht="14.25" customHeight="1">
      <c r="B35" s="2406" t="str">
        <f t="shared" si="3"/>
        <v xml:space="preserve"> </v>
      </c>
      <c r="C35" s="2406"/>
      <c r="D35" s="2406"/>
      <c r="E35" s="2406"/>
      <c r="F35" s="2406"/>
      <c r="G35" s="2406"/>
      <c r="H35" s="2406"/>
      <c r="I35" s="2406"/>
      <c r="J35" s="2406"/>
      <c r="K35" s="2406"/>
      <c r="L35" s="2406"/>
      <c r="M35" s="2406"/>
      <c r="O35" s="82">
        <f t="shared" si="4"/>
        <v>0</v>
      </c>
      <c r="S35" s="46"/>
      <c r="T35" s="46"/>
      <c r="U35" s="46">
        <f t="shared" si="1"/>
        <v>16</v>
      </c>
      <c r="V35" s="46">
        <f t="shared" si="2"/>
        <v>0</v>
      </c>
      <c r="W35" s="46">
        <f t="shared" si="8"/>
        <v>0</v>
      </c>
      <c r="X35" s="46">
        <f t="shared" si="9"/>
        <v>0</v>
      </c>
      <c r="Y35" s="46">
        <v>19</v>
      </c>
      <c r="Z35" s="762" t="str">
        <f>IFERROR(IF(AB28&lt;&gt;" ","Uses Statement - Total sources does not equal total uses"," ")," ")</f>
        <v xml:space="preserve"> </v>
      </c>
      <c r="AA35" s="82">
        <v>19</v>
      </c>
      <c r="AF35" s="82" t="str">
        <f>'A(2)-Uses Statement'!$E$12</f>
        <v>Input Total Housing Square Feet:</v>
      </c>
      <c r="AG35" s="82" t="str">
        <f>'A(2)-Uses Statement'!$C$13</f>
        <v>Commercial Space Not Indicated on Project Information Tab</v>
      </c>
    </row>
    <row r="36" spans="2:56" s="82" customFormat="1" ht="14.25" customHeight="1">
      <c r="B36" s="2406" t="str">
        <f t="shared" si="3"/>
        <v xml:space="preserve"> </v>
      </c>
      <c r="C36" s="2406"/>
      <c r="D36" s="2406"/>
      <c r="E36" s="2406"/>
      <c r="F36" s="2406"/>
      <c r="G36" s="2406"/>
      <c r="H36" s="2406"/>
      <c r="I36" s="2406"/>
      <c r="J36" s="2406"/>
      <c r="K36" s="2406"/>
      <c r="L36" s="2406"/>
      <c r="M36" s="2406"/>
      <c r="O36" s="82">
        <f t="shared" si="4"/>
        <v>0</v>
      </c>
      <c r="S36" s="46"/>
      <c r="T36" s="46"/>
      <c r="U36" s="46">
        <f t="shared" si="1"/>
        <v>11</v>
      </c>
      <c r="V36" s="46">
        <f t="shared" si="2"/>
        <v>5</v>
      </c>
      <c r="W36" s="46">
        <f t="shared" si="8"/>
        <v>1</v>
      </c>
      <c r="X36" s="46">
        <f t="shared" si="9"/>
        <v>1</v>
      </c>
      <c r="Y36" s="46">
        <v>20</v>
      </c>
      <c r="Z36" s="762" t="str">
        <f>IFERROR(IF(OR(AF35="Input Total Housing Square Feet:",AG35="Input Total Commercial Square Feet:"),"Uses Statement - Total Housing and/or commercial square feet has not been indicated."," ")," ")</f>
        <v>Uses Statement - Total Housing and/or commercial square feet has not been indicated.</v>
      </c>
      <c r="AA36" s="82">
        <v>20</v>
      </c>
    </row>
    <row r="37" spans="2:56" s="82" customFormat="1" ht="14.25" customHeight="1">
      <c r="B37" s="2406" t="str">
        <f t="shared" si="3"/>
        <v xml:space="preserve"> </v>
      </c>
      <c r="C37" s="2406"/>
      <c r="D37" s="2406"/>
      <c r="E37" s="2406"/>
      <c r="F37" s="2406"/>
      <c r="G37" s="2406"/>
      <c r="H37" s="2406"/>
      <c r="I37" s="2406"/>
      <c r="J37" s="2406"/>
      <c r="K37" s="2406"/>
      <c r="L37" s="2406"/>
      <c r="M37" s="2406"/>
      <c r="O37" s="82">
        <f t="shared" si="4"/>
        <v>0</v>
      </c>
      <c r="S37" s="46"/>
      <c r="T37" s="46"/>
      <c r="U37" s="46">
        <f t="shared" si="1"/>
        <v>16</v>
      </c>
      <c r="V37" s="46">
        <f t="shared" si="2"/>
        <v>0</v>
      </c>
      <c r="W37" s="46">
        <f t="shared" si="8"/>
        <v>0</v>
      </c>
      <c r="X37" s="46">
        <f t="shared" si="9"/>
        <v>0</v>
      </c>
      <c r="Y37" s="46">
        <v>21</v>
      </c>
      <c r="Z37" s="762" t="str">
        <f>IFERROR(IF('A(2)-Uses Statement'!Z21&gt;0,"Uses Statement - An amount has not been indicated for all listed 'other' uses under acquisition."," ")," ")</f>
        <v xml:space="preserve"> </v>
      </c>
      <c r="AA37" s="82">
        <v>21</v>
      </c>
    </row>
    <row r="38" spans="2:56" s="82" customFormat="1" ht="14.25" customHeight="1">
      <c r="B38" s="2406" t="str">
        <f t="shared" si="3"/>
        <v xml:space="preserve"> </v>
      </c>
      <c r="C38" s="2406"/>
      <c r="D38" s="2406"/>
      <c r="E38" s="2406"/>
      <c r="F38" s="2406"/>
      <c r="G38" s="2406"/>
      <c r="H38" s="2406"/>
      <c r="I38" s="2406"/>
      <c r="J38" s="2406"/>
      <c r="K38" s="2406"/>
      <c r="L38" s="2406"/>
      <c r="M38" s="2406"/>
      <c r="O38" s="82">
        <f t="shared" si="4"/>
        <v>0</v>
      </c>
      <c r="S38" s="46"/>
      <c r="T38" s="46"/>
      <c r="U38" s="46">
        <f t="shared" si="1"/>
        <v>16</v>
      </c>
      <c r="V38" s="46">
        <f t="shared" si="2"/>
        <v>0</v>
      </c>
      <c r="W38" s="46">
        <f t="shared" si="8"/>
        <v>0</v>
      </c>
      <c r="X38" s="46">
        <f t="shared" si="9"/>
        <v>0</v>
      </c>
      <c r="Y38" s="46">
        <v>22</v>
      </c>
      <c r="Z38" s="762" t="str">
        <f>IFERROR(IF('A(2)-Uses Statement'!AA21&gt;0,"Uses Statement - A description was not provided for all indicated 'other' uses under acquisition."," ")," ")</f>
        <v xml:space="preserve"> </v>
      </c>
      <c r="AA38" s="82">
        <v>22</v>
      </c>
      <c r="AH38" s="82" t="s">
        <v>946</v>
      </c>
      <c r="AI38" s="82" t="s">
        <v>841</v>
      </c>
    </row>
    <row r="39" spans="2:56" s="82" customFormat="1" ht="14.25" customHeight="1">
      <c r="B39" s="2406" t="str">
        <f t="shared" si="3"/>
        <v xml:space="preserve"> </v>
      </c>
      <c r="C39" s="2406"/>
      <c r="D39" s="2406"/>
      <c r="E39" s="2406"/>
      <c r="F39" s="2406"/>
      <c r="G39" s="2406"/>
      <c r="H39" s="2406"/>
      <c r="I39" s="2406"/>
      <c r="J39" s="2406"/>
      <c r="K39" s="2406"/>
      <c r="L39" s="2406"/>
      <c r="M39" s="2406"/>
      <c r="O39" s="82">
        <f t="shared" si="4"/>
        <v>0</v>
      </c>
      <c r="S39" s="46"/>
      <c r="T39" s="46"/>
      <c r="U39" s="46">
        <f t="shared" si="1"/>
        <v>16</v>
      </c>
      <c r="V39" s="46">
        <f t="shared" si="2"/>
        <v>0</v>
      </c>
      <c r="W39" s="46">
        <f t="shared" si="8"/>
        <v>0</v>
      </c>
      <c r="X39" s="46">
        <f t="shared" si="9"/>
        <v>0</v>
      </c>
      <c r="Y39" s="46">
        <v>23</v>
      </c>
      <c r="Z39" s="762" t="str">
        <f>IFERROR(IF('A(2)-Uses Statement'!Z22&gt;0,"Uses Statement - An amount has not been indicated for all listed 'other' uses under predevelopment."," ")," ")</f>
        <v xml:space="preserve"> </v>
      </c>
      <c r="AA39" s="82">
        <v>23</v>
      </c>
      <c r="AH39" s="82" t="str">
        <f>'Project Info and Instructions'!$F$22</f>
        <v>Select 'Yes' or 'No'</v>
      </c>
      <c r="AI39" s="82">
        <f>'A(2)-Uses Statement'!$I$81</f>
        <v>0</v>
      </c>
    </row>
    <row r="40" spans="2:56" s="82" customFormat="1" ht="14.25" customHeight="1">
      <c r="B40" s="2406" t="str">
        <f t="shared" si="3"/>
        <v xml:space="preserve"> </v>
      </c>
      <c r="C40" s="2406"/>
      <c r="D40" s="2406"/>
      <c r="E40" s="2406"/>
      <c r="F40" s="2406"/>
      <c r="G40" s="2406"/>
      <c r="H40" s="2406"/>
      <c r="I40" s="2406"/>
      <c r="J40" s="2406"/>
      <c r="K40" s="2406"/>
      <c r="L40" s="2406"/>
      <c r="M40" s="2406"/>
      <c r="O40" s="82">
        <f t="shared" si="4"/>
        <v>0</v>
      </c>
      <c r="S40" s="46"/>
      <c r="T40" s="46"/>
      <c r="U40" s="46">
        <f t="shared" si="1"/>
        <v>16</v>
      </c>
      <c r="V40" s="46">
        <f t="shared" si="2"/>
        <v>0</v>
      </c>
      <c r="W40" s="46">
        <f t="shared" si="8"/>
        <v>0</v>
      </c>
      <c r="X40" s="46">
        <f t="shared" si="9"/>
        <v>0</v>
      </c>
      <c r="Y40" s="46">
        <v>24</v>
      </c>
      <c r="Z40" s="762" t="str">
        <f>IFERROR(IF('A(2)-Uses Statement'!AA22&gt;0,"Uses Statement - A description was not provided for all indicated 'other' uses under predevelopment."," ")," ")</f>
        <v xml:space="preserve"> </v>
      </c>
      <c r="AA40" s="82">
        <v>24</v>
      </c>
    </row>
    <row r="41" spans="2:56" s="82" customFormat="1" ht="14.25" customHeight="1">
      <c r="B41" s="2406" t="str">
        <f t="shared" si="3"/>
        <v xml:space="preserve"> </v>
      </c>
      <c r="C41" s="2406"/>
      <c r="D41" s="2406"/>
      <c r="E41" s="2406"/>
      <c r="F41" s="2406"/>
      <c r="G41" s="2406"/>
      <c r="H41" s="2406"/>
      <c r="I41" s="2406"/>
      <c r="J41" s="2406"/>
      <c r="K41" s="2406"/>
      <c r="L41" s="2406"/>
      <c r="M41" s="2406"/>
      <c r="O41" s="82">
        <f t="shared" si="4"/>
        <v>0</v>
      </c>
      <c r="S41" s="46"/>
      <c r="T41" s="46"/>
      <c r="U41" s="46">
        <f t="shared" si="1"/>
        <v>16</v>
      </c>
      <c r="V41" s="46">
        <f t="shared" si="2"/>
        <v>0</v>
      </c>
      <c r="W41" s="46">
        <f t="shared" si="8"/>
        <v>0</v>
      </c>
      <c r="X41" s="46">
        <f t="shared" si="9"/>
        <v>0</v>
      </c>
      <c r="Y41" s="46">
        <v>25</v>
      </c>
      <c r="Z41" s="762" t="str">
        <f>IFERROR(IF('A(2)-Uses Statement'!Z23&gt;0,"Uses Statement - An amount has not been indicated for all listed 'other' uses under development."," ")," ")</f>
        <v xml:space="preserve"> </v>
      </c>
      <c r="AA41" s="82">
        <v>25</v>
      </c>
    </row>
    <row r="42" spans="2:56" s="82" customFormat="1" ht="14.25" customHeight="1">
      <c r="B42" s="2406" t="str">
        <f t="shared" si="3"/>
        <v xml:space="preserve"> </v>
      </c>
      <c r="C42" s="2406"/>
      <c r="D42" s="2406"/>
      <c r="E42" s="2406"/>
      <c r="F42" s="2406"/>
      <c r="G42" s="2406"/>
      <c r="H42" s="2406"/>
      <c r="I42" s="2406"/>
      <c r="J42" s="2406"/>
      <c r="K42" s="2406"/>
      <c r="L42" s="2406"/>
      <c r="M42" s="2406"/>
      <c r="O42" s="82">
        <f t="shared" si="4"/>
        <v>0</v>
      </c>
      <c r="S42" s="46"/>
      <c r="T42" s="46"/>
      <c r="U42" s="46">
        <f t="shared" si="1"/>
        <v>16</v>
      </c>
      <c r="V42" s="46">
        <f t="shared" si="2"/>
        <v>0</v>
      </c>
      <c r="W42" s="46">
        <f t="shared" si="8"/>
        <v>0</v>
      </c>
      <c r="X42" s="46">
        <f t="shared" si="9"/>
        <v>0</v>
      </c>
      <c r="Y42" s="46">
        <v>26</v>
      </c>
      <c r="Z42" s="762" t="str">
        <f>IFERROR(IF('A(2)-Uses Statement'!AA23&gt;0,"Uses Statement - A description was not provided for all indicated 'other' uses under development."," ")," ")</f>
        <v xml:space="preserve"> </v>
      </c>
      <c r="AA42" s="82">
        <v>26</v>
      </c>
    </row>
    <row r="43" spans="2:56" s="82" customFormat="1" ht="14.25" customHeight="1">
      <c r="B43" s="2406" t="str">
        <f t="shared" si="3"/>
        <v xml:space="preserve"> </v>
      </c>
      <c r="C43" s="2406"/>
      <c r="D43" s="2406"/>
      <c r="E43" s="2406"/>
      <c r="F43" s="2406"/>
      <c r="G43" s="2406"/>
      <c r="H43" s="2406"/>
      <c r="I43" s="2406"/>
      <c r="J43" s="2406"/>
      <c r="K43" s="2406"/>
      <c r="L43" s="2406"/>
      <c r="M43" s="2406"/>
      <c r="O43" s="82">
        <f t="shared" si="4"/>
        <v>0</v>
      </c>
      <c r="S43" s="46"/>
      <c r="T43" s="46"/>
      <c r="U43" s="46">
        <f t="shared" si="1"/>
        <v>16</v>
      </c>
      <c r="V43" s="46">
        <f t="shared" si="2"/>
        <v>0</v>
      </c>
      <c r="W43" s="46">
        <f t="shared" si="8"/>
        <v>0</v>
      </c>
      <c r="X43" s="46">
        <f t="shared" si="9"/>
        <v>0</v>
      </c>
      <c r="Y43" s="46">
        <v>27</v>
      </c>
      <c r="Z43" s="762" t="str">
        <f>'A(2)-Uses Statement'!T36</f>
        <v xml:space="preserve"> </v>
      </c>
      <c r="AA43" s="82">
        <v>27</v>
      </c>
    </row>
    <row r="44" spans="2:56" s="82" customFormat="1" ht="14.25" customHeight="1">
      <c r="B44" s="2406" t="str">
        <f t="shared" si="3"/>
        <v xml:space="preserve"> </v>
      </c>
      <c r="C44" s="2406"/>
      <c r="D44" s="2406"/>
      <c r="E44" s="2406"/>
      <c r="F44" s="2406"/>
      <c r="G44" s="2406"/>
      <c r="H44" s="2406"/>
      <c r="I44" s="2406"/>
      <c r="J44" s="2406"/>
      <c r="K44" s="2406"/>
      <c r="L44" s="2406"/>
      <c r="M44" s="2406"/>
      <c r="O44" s="82">
        <f t="shared" si="4"/>
        <v>0</v>
      </c>
      <c r="S44" s="46"/>
      <c r="T44" s="46"/>
      <c r="U44" s="46">
        <f t="shared" si="1"/>
        <v>16</v>
      </c>
      <c r="V44" s="46">
        <f t="shared" si="2"/>
        <v>0</v>
      </c>
      <c r="W44" s="46">
        <f t="shared" si="8"/>
        <v>0</v>
      </c>
      <c r="X44" s="46">
        <f t="shared" si="9"/>
        <v>0</v>
      </c>
      <c r="Y44" s="46">
        <v>28</v>
      </c>
      <c r="Z44" s="762" t="str">
        <f>'A(2)-Uses Statement'!T37</f>
        <v xml:space="preserve"> </v>
      </c>
      <c r="AA44" s="82">
        <v>28</v>
      </c>
    </row>
    <row r="45" spans="2:56" s="82" customFormat="1" ht="14.25" customHeight="1">
      <c r="B45" s="2406" t="str">
        <f t="shared" si="3"/>
        <v xml:space="preserve"> </v>
      </c>
      <c r="C45" s="2406"/>
      <c r="D45" s="2406"/>
      <c r="E45" s="2406"/>
      <c r="F45" s="2406"/>
      <c r="G45" s="2406"/>
      <c r="H45" s="2406"/>
      <c r="I45" s="2406"/>
      <c r="J45" s="2406"/>
      <c r="K45" s="2406"/>
      <c r="L45" s="2406"/>
      <c r="M45" s="2406"/>
      <c r="N45" s="763"/>
      <c r="O45" s="82">
        <f t="shared" si="4"/>
        <v>0</v>
      </c>
      <c r="P45" s="763"/>
      <c r="S45" s="46"/>
      <c r="T45" s="46"/>
      <c r="U45" s="46">
        <f t="shared" si="1"/>
        <v>16</v>
      </c>
      <c r="V45" s="46">
        <f t="shared" si="2"/>
        <v>0</v>
      </c>
      <c r="W45" s="46">
        <f t="shared" si="8"/>
        <v>0</v>
      </c>
      <c r="X45" s="46">
        <f t="shared" si="9"/>
        <v>0</v>
      </c>
      <c r="Y45" s="46">
        <v>29</v>
      </c>
      <c r="Z45" s="762" t="str">
        <f>'A(2)-Uses Statement'!T38</f>
        <v xml:space="preserve"> </v>
      </c>
      <c r="AA45" s="82">
        <v>29</v>
      </c>
    </row>
    <row r="46" spans="2:56" s="82" customFormat="1" ht="14.25" customHeight="1">
      <c r="B46" s="2406" t="str">
        <f t="shared" si="3"/>
        <v xml:space="preserve"> </v>
      </c>
      <c r="C46" s="2406"/>
      <c r="D46" s="2406"/>
      <c r="E46" s="2406"/>
      <c r="F46" s="2406"/>
      <c r="G46" s="2406"/>
      <c r="H46" s="2406"/>
      <c r="I46" s="2406"/>
      <c r="J46" s="2406"/>
      <c r="K46" s="2406"/>
      <c r="L46" s="2406"/>
      <c r="M46" s="2406"/>
      <c r="O46" s="82">
        <f t="shared" si="4"/>
        <v>0</v>
      </c>
      <c r="S46" s="46"/>
      <c r="T46" s="46"/>
      <c r="U46" s="46">
        <f t="shared" si="1"/>
        <v>16</v>
      </c>
      <c r="V46" s="46">
        <f t="shared" si="2"/>
        <v>0</v>
      </c>
      <c r="W46" s="46">
        <f t="shared" si="8"/>
        <v>0</v>
      </c>
      <c r="X46" s="46">
        <f t="shared" si="9"/>
        <v>0</v>
      </c>
      <c r="Y46" s="46">
        <v>30</v>
      </c>
      <c r="Z46" s="762" t="str">
        <f>IFERROR(IF(AND(AH39="Yes",AI39=0),"Uses Statement - Project includes commercial space but commercial uses were not indicated"," ")," ")</f>
        <v xml:space="preserve"> </v>
      </c>
      <c r="AA46" s="82">
        <v>30</v>
      </c>
      <c r="AB46" s="82">
        <f>'A(3)-Sources and Uses Summary'!T30</f>
        <v>0</v>
      </c>
      <c r="BD46" s="82">
        <f>COUNTIF(B46,"&lt;&gt;"&amp;" ")</f>
        <v>0</v>
      </c>
    </row>
    <row r="47" spans="2:56" s="82" customFormat="1" ht="14.25" customHeight="1">
      <c r="B47" s="2406" t="str">
        <f t="shared" si="3"/>
        <v xml:space="preserve"> </v>
      </c>
      <c r="C47" s="2406"/>
      <c r="D47" s="2406"/>
      <c r="E47" s="2406"/>
      <c r="F47" s="2406"/>
      <c r="G47" s="2406"/>
      <c r="H47" s="2406"/>
      <c r="I47" s="2406"/>
      <c r="J47" s="2406"/>
      <c r="K47" s="2406"/>
      <c r="L47" s="2406"/>
      <c r="M47" s="2406"/>
      <c r="O47" s="82">
        <f t="shared" si="4"/>
        <v>0</v>
      </c>
      <c r="S47" s="46"/>
      <c r="T47" s="46"/>
      <c r="U47" s="46">
        <f t="shared" si="1"/>
        <v>16</v>
      </c>
      <c r="V47" s="46">
        <f t="shared" si="2"/>
        <v>0</v>
      </c>
      <c r="W47" s="46">
        <f t="shared" ref="W47:W58" si="10">IF(X47&gt;0,W46+X47,0)</f>
        <v>0</v>
      </c>
      <c r="X47" s="46">
        <f t="shared" ref="X47:X58" si="11">IF(Z47=" ",0,1)</f>
        <v>0</v>
      </c>
      <c r="Y47" s="46">
        <v>31</v>
      </c>
      <c r="Z47" s="762" t="str">
        <f>IFERROR(IF(AB46&gt;0,"Sources &amp; Uses Summary - One or more of the questions was not answered."," ")," ")</f>
        <v xml:space="preserve"> </v>
      </c>
      <c r="AA47" s="82">
        <v>31</v>
      </c>
      <c r="AJ47" s="34" t="s">
        <v>160</v>
      </c>
      <c r="AK47" s="34" t="s">
        <v>153</v>
      </c>
      <c r="AL47" s="34" t="s">
        <v>120</v>
      </c>
      <c r="AM47" s="34" t="s">
        <v>808</v>
      </c>
      <c r="AN47" s="34" t="s">
        <v>931</v>
      </c>
      <c r="AO47" s="34" t="s">
        <v>711</v>
      </c>
      <c r="AP47" s="34" t="s">
        <v>679</v>
      </c>
      <c r="AQ47" s="34" t="s">
        <v>663</v>
      </c>
      <c r="AR47" s="34"/>
    </row>
    <row r="48" spans="2:56" s="82" customFormat="1" ht="14.25" customHeight="1">
      <c r="B48" s="2406" t="str">
        <f t="shared" si="3"/>
        <v xml:space="preserve"> </v>
      </c>
      <c r="C48" s="2406"/>
      <c r="D48" s="2406"/>
      <c r="E48" s="2406"/>
      <c r="F48" s="2406"/>
      <c r="G48" s="2406"/>
      <c r="H48" s="2406"/>
      <c r="I48" s="2406"/>
      <c r="J48" s="2406"/>
      <c r="K48" s="2406"/>
      <c r="L48" s="2406"/>
      <c r="M48" s="2406"/>
      <c r="N48" s="763"/>
      <c r="O48" s="82">
        <f t="shared" si="4"/>
        <v>0</v>
      </c>
      <c r="P48" s="763"/>
      <c r="S48" s="46"/>
      <c r="T48" s="46"/>
      <c r="U48" s="46">
        <f t="shared" si="1"/>
        <v>16</v>
      </c>
      <c r="V48" s="46">
        <f t="shared" si="2"/>
        <v>0</v>
      </c>
      <c r="W48" s="46">
        <f t="shared" si="10"/>
        <v>0</v>
      </c>
      <c r="X48" s="46">
        <f t="shared" si="11"/>
        <v>0</v>
      </c>
      <c r="Y48" s="46">
        <v>32</v>
      </c>
      <c r="Z48" s="762" t="str">
        <f>IFERROR(IF(AND('Project Info and Instructions'!F20="Rental",'B-Rent Schedule'!Q62&lt;0.2),"Rent Schedule - Less than 20% of units indicated are reserved for housesholds at or below 50% A.M.I."," ")," ")</f>
        <v xml:space="preserve"> </v>
      </c>
      <c r="AA48" s="82">
        <v>32</v>
      </c>
      <c r="AI48" s="766"/>
      <c r="AJ48" s="46">
        <f>COUNTIF('B-Rent Schedule'!C29:C50,"&lt;&gt;")</f>
        <v>0</v>
      </c>
      <c r="AK48" s="46">
        <f>COUNTIF('B-Rent Schedule'!D29:D50,"&lt;&gt;")</f>
        <v>0</v>
      </c>
      <c r="AL48" s="46">
        <f>COUNTIF('B-Rent Schedule'!E29:E50,"&lt;&gt;")</f>
        <v>0</v>
      </c>
      <c r="AM48" s="46">
        <f>COUNTIF('B-Rent Schedule'!F29:F50,"&lt;&gt;")</f>
        <v>0</v>
      </c>
      <c r="AN48" s="46">
        <f>COUNTIF('B-Rent Schedule'!G29:G50,"&lt;&gt;")</f>
        <v>0</v>
      </c>
      <c r="AO48" s="46">
        <f>COUNTIFS('B-Rent Schedule'!I29:I50,"&lt;&gt;")</f>
        <v>0</v>
      </c>
      <c r="AP48" s="46">
        <f>COUNTIF('B-Rent Schedule'!K29:K50,"&lt;&gt;")</f>
        <v>0</v>
      </c>
      <c r="AQ48" s="46">
        <f>COUNTIF('B-Rent Schedule'!O29:O50,"&lt;&gt;")</f>
        <v>0</v>
      </c>
      <c r="AR48" s="46"/>
      <c r="AS48" s="46"/>
      <c r="AU48" s="46"/>
      <c r="AW48" s="46"/>
      <c r="AX48" s="46"/>
    </row>
    <row r="49" spans="2:56" s="82" customFormat="1" ht="14.25" customHeight="1">
      <c r="B49" s="2406" t="str">
        <f t="shared" si="3"/>
        <v xml:space="preserve"> </v>
      </c>
      <c r="C49" s="2406"/>
      <c r="D49" s="2406"/>
      <c r="E49" s="2406"/>
      <c r="F49" s="2406"/>
      <c r="G49" s="2406"/>
      <c r="H49" s="2406"/>
      <c r="I49" s="2406"/>
      <c r="J49" s="2406"/>
      <c r="K49" s="2406"/>
      <c r="L49" s="2406"/>
      <c r="M49" s="2406"/>
      <c r="O49" s="82">
        <f t="shared" si="4"/>
        <v>0</v>
      </c>
      <c r="S49" s="46"/>
      <c r="T49" s="46"/>
      <c r="U49" s="46">
        <f t="shared" si="1"/>
        <v>16</v>
      </c>
      <c r="V49" s="46">
        <f t="shared" si="2"/>
        <v>0</v>
      </c>
      <c r="W49" s="46">
        <f t="shared" si="10"/>
        <v>0</v>
      </c>
      <c r="X49" s="46">
        <f t="shared" si="11"/>
        <v>0</v>
      </c>
      <c r="Y49" s="46">
        <v>33</v>
      </c>
      <c r="Z49" s="762" t="str">
        <f>IFERROR(IF(AND('Project Info and Instructions'!F20="Rental",AJ51&lt;AT51),"Rent Schedule - Target area median income has not been indicated for all listed units"," ")," ")</f>
        <v xml:space="preserve"> </v>
      </c>
      <c r="AA49" s="82">
        <v>33</v>
      </c>
      <c r="AC49" s="767" t="str">
        <f t="shared" ref="AC49:AC59" si="12">IF($T$49&gt;=Y48,(VLOOKUP(Y48,$V$49:$AB$60,7,FALSE))," ")</f>
        <v xml:space="preserve"> </v>
      </c>
      <c r="AI49" s="768"/>
      <c r="AJ49" s="46">
        <f>COUNTIF('B-Rent Schedule'!C52,"&lt;&gt;")</f>
        <v>0</v>
      </c>
      <c r="AK49" s="46">
        <f>COUNTIF('B-Rent Schedule'!D52,"&lt;&gt;")</f>
        <v>0</v>
      </c>
      <c r="AL49" s="46">
        <f>COUNTIF('B-Rent Schedule'!E52,"&lt;&gt;")</f>
        <v>0</v>
      </c>
      <c r="AM49" s="46">
        <f>COUNTIF('B-Rent Schedule'!F52,"&lt;&gt;")</f>
        <v>0</v>
      </c>
      <c r="AN49" s="46">
        <f>COUNTIF('B-Rent Schedule'!G52,"&lt;&gt;")</f>
        <v>0</v>
      </c>
      <c r="AO49" s="46">
        <f>COUNTIF('B-Rent Schedule'!I52,"&lt;&gt;")</f>
        <v>0</v>
      </c>
      <c r="AP49" s="46">
        <f>COUNTIF('B-Rent Schedule'!K52,"&lt;&gt;")</f>
        <v>0</v>
      </c>
      <c r="AQ49" s="46">
        <f>COUNTIF('B-Rent Schedule'!O52,"&lt;&gt;")</f>
        <v>0</v>
      </c>
      <c r="BD49" s="82">
        <f>COUNTIF(B49:B55,"&lt;&gt;"&amp;" ")</f>
        <v>0</v>
      </c>
    </row>
    <row r="50" spans="2:56" s="82" customFormat="1" ht="14.25" customHeight="1">
      <c r="B50" s="2406" t="str">
        <f t="shared" ref="B50:B113" si="13">IF($T$17&gt;=Y50,(VLOOKUP(Y50,$V$17:$Z$190,5,FALSE))," ")</f>
        <v xml:space="preserve"> </v>
      </c>
      <c r="C50" s="2406"/>
      <c r="D50" s="2406"/>
      <c r="E50" s="2406"/>
      <c r="F50" s="2406"/>
      <c r="G50" s="2406"/>
      <c r="H50" s="2406"/>
      <c r="I50" s="2406"/>
      <c r="J50" s="2406"/>
      <c r="K50" s="2406"/>
      <c r="L50" s="2406"/>
      <c r="M50" s="2406"/>
      <c r="O50" s="82">
        <f t="shared" si="4"/>
        <v>0</v>
      </c>
      <c r="S50" s="46"/>
      <c r="T50" s="46"/>
      <c r="U50" s="46">
        <f t="shared" si="1"/>
        <v>16</v>
      </c>
      <c r="V50" s="46">
        <f t="shared" si="2"/>
        <v>0</v>
      </c>
      <c r="W50" s="46">
        <f t="shared" si="10"/>
        <v>0</v>
      </c>
      <c r="X50" s="46">
        <f t="shared" si="11"/>
        <v>0</v>
      </c>
      <c r="Y50" s="46">
        <v>34</v>
      </c>
      <c r="Z50" s="762" t="str">
        <f>IFERROR(IF(AND('Project Info and Instructions'!F20="Rental",AK51&lt;AT51),"Rent Schedule - The number of bedrooms has not been indicated for all listed units"," ")," ")</f>
        <v xml:space="preserve"> </v>
      </c>
      <c r="AA50" s="82">
        <v>34</v>
      </c>
      <c r="AC50" s="767" t="str">
        <f t="shared" si="12"/>
        <v xml:space="preserve"> </v>
      </c>
      <c r="AI50" s="768"/>
      <c r="AJ50" s="46">
        <f>IF(AJ55&gt;0,1,0)</f>
        <v>0</v>
      </c>
      <c r="AK50" s="46">
        <f>COUNTIF('B-Rent Schedule'!D54,"&lt;&gt;")</f>
        <v>0</v>
      </c>
      <c r="AL50" s="46">
        <f>COUNTIF('B-Rent Schedule'!E54,"&lt;&gt;")</f>
        <v>0</v>
      </c>
      <c r="AM50" s="46">
        <f>COUNTIF('B-Rent Schedule'!F54,"&lt;&gt;")</f>
        <v>0</v>
      </c>
      <c r="AN50" s="46">
        <f>COUNTIF('B-Rent Schedule'!G54,"&lt;&gt;")</f>
        <v>0</v>
      </c>
      <c r="AO50" s="46">
        <f>COUNTIF('B-Rent Schedule'!I54,"&lt;&gt;")</f>
        <v>0</v>
      </c>
      <c r="AP50" s="46">
        <f>COUNTIF('B-Rent Schedule'!K54,"&lt;&gt;")</f>
        <v>0</v>
      </c>
      <c r="AQ50" s="46">
        <f>COUNTIF('B-Rent Schedule'!O54,"&lt;&gt;")</f>
        <v>0</v>
      </c>
    </row>
    <row r="51" spans="2:56" s="82" customFormat="1" ht="14.25" customHeight="1">
      <c r="B51" s="2406" t="str">
        <f t="shared" si="13"/>
        <v xml:space="preserve"> </v>
      </c>
      <c r="C51" s="2406"/>
      <c r="D51" s="2406"/>
      <c r="E51" s="2406"/>
      <c r="F51" s="2406"/>
      <c r="G51" s="2406"/>
      <c r="H51" s="2406"/>
      <c r="I51" s="2406"/>
      <c r="J51" s="2406"/>
      <c r="K51" s="2406"/>
      <c r="L51" s="2406"/>
      <c r="M51" s="2406"/>
      <c r="O51" s="82">
        <f t="shared" si="4"/>
        <v>0</v>
      </c>
      <c r="S51" s="46"/>
      <c r="T51" s="46"/>
      <c r="U51" s="46">
        <f t="shared" si="1"/>
        <v>16</v>
      </c>
      <c r="V51" s="46">
        <f t="shared" si="2"/>
        <v>0</v>
      </c>
      <c r="W51" s="46">
        <f t="shared" si="10"/>
        <v>0</v>
      </c>
      <c r="X51" s="46">
        <f t="shared" si="11"/>
        <v>0</v>
      </c>
      <c r="Y51" s="46">
        <v>35</v>
      </c>
      <c r="Z51" s="762" t="str">
        <f>IFERROR(IF(AND('Project Info and Instructions'!F20="Rental",AL51&lt;AT51),"Rent Schedule - Number of units has not been indicated for all listed units"," ")," ")</f>
        <v xml:space="preserve"> </v>
      </c>
      <c r="AA51" s="82">
        <v>35</v>
      </c>
      <c r="AC51" s="767" t="str">
        <f t="shared" si="12"/>
        <v xml:space="preserve"> </v>
      </c>
      <c r="AI51" s="768"/>
      <c r="AJ51" s="46">
        <f t="shared" ref="AJ51:AQ51" si="14">SUM(AJ48:AJ50)</f>
        <v>0</v>
      </c>
      <c r="AK51" s="46">
        <f t="shared" si="14"/>
        <v>0</v>
      </c>
      <c r="AL51" s="46">
        <f t="shared" si="14"/>
        <v>0</v>
      </c>
      <c r="AM51" s="46">
        <f t="shared" si="14"/>
        <v>0</v>
      </c>
      <c r="AN51" s="46">
        <f t="shared" si="14"/>
        <v>0</v>
      </c>
      <c r="AO51" s="770">
        <f t="shared" si="14"/>
        <v>0</v>
      </c>
      <c r="AP51" s="46">
        <f t="shared" si="14"/>
        <v>0</v>
      </c>
      <c r="AQ51" s="46">
        <f t="shared" si="14"/>
        <v>0</v>
      </c>
      <c r="AT51" s="46">
        <f>MAX(AJ51:AR51)</f>
        <v>0</v>
      </c>
    </row>
    <row r="52" spans="2:56" s="82" customFormat="1" ht="14.25" customHeight="1">
      <c r="B52" s="2406" t="str">
        <f t="shared" si="13"/>
        <v xml:space="preserve"> </v>
      </c>
      <c r="C52" s="2406"/>
      <c r="D52" s="2406"/>
      <c r="E52" s="2406"/>
      <c r="F52" s="2406"/>
      <c r="G52" s="2406"/>
      <c r="H52" s="2406"/>
      <c r="I52" s="2406"/>
      <c r="J52" s="2406"/>
      <c r="K52" s="2406"/>
      <c r="L52" s="2406"/>
      <c r="M52" s="2406"/>
      <c r="O52" s="82">
        <f t="shared" si="4"/>
        <v>0</v>
      </c>
      <c r="S52" s="46"/>
      <c r="T52" s="46"/>
      <c r="U52" s="46">
        <f t="shared" si="1"/>
        <v>16</v>
      </c>
      <c r="V52" s="46">
        <f t="shared" si="2"/>
        <v>0</v>
      </c>
      <c r="W52" s="46">
        <f t="shared" si="10"/>
        <v>0</v>
      </c>
      <c r="X52" s="46">
        <f t="shared" si="11"/>
        <v>0</v>
      </c>
      <c r="Y52" s="46">
        <v>36</v>
      </c>
      <c r="Z52" s="762" t="str">
        <f>IFERROR(IF(AND('Project Info and Instructions'!F20="Rental",AM51&lt;AT51),"Rent Schedule - Total rent received has not been indicated for all listed units"," ")," ")</f>
        <v xml:space="preserve"> </v>
      </c>
      <c r="AA52" s="82">
        <v>36</v>
      </c>
      <c r="AC52" s="767" t="str">
        <f t="shared" si="12"/>
        <v xml:space="preserve"> </v>
      </c>
      <c r="AI52" s="771"/>
      <c r="AJ52" s="46"/>
      <c r="AK52" s="46"/>
      <c r="AL52" s="46"/>
      <c r="AM52" s="46"/>
      <c r="AN52" s="46"/>
      <c r="AO52" s="46">
        <f>COUNTIF('B-Rent Schedule'!H29:H50,"&gt;"&amp;0)</f>
        <v>0</v>
      </c>
      <c r="AP52" s="46"/>
    </row>
    <row r="53" spans="2:56" s="82" customFormat="1" ht="14.25" customHeight="1">
      <c r="B53" s="2406" t="str">
        <f t="shared" si="13"/>
        <v xml:space="preserve"> </v>
      </c>
      <c r="C53" s="2406"/>
      <c r="D53" s="2406"/>
      <c r="E53" s="2406"/>
      <c r="F53" s="2406"/>
      <c r="G53" s="2406"/>
      <c r="H53" s="2406"/>
      <c r="I53" s="2406"/>
      <c r="J53" s="2406"/>
      <c r="K53" s="2406"/>
      <c r="L53" s="2406"/>
      <c r="M53" s="2406"/>
      <c r="O53" s="82">
        <f t="shared" si="4"/>
        <v>0</v>
      </c>
      <c r="S53" s="46"/>
      <c r="T53" s="46"/>
      <c r="U53" s="46">
        <f t="shared" si="1"/>
        <v>16</v>
      </c>
      <c r="V53" s="46">
        <f t="shared" si="2"/>
        <v>0</v>
      </c>
      <c r="W53" s="46">
        <f t="shared" si="10"/>
        <v>0</v>
      </c>
      <c r="X53" s="46">
        <f t="shared" si="11"/>
        <v>0</v>
      </c>
      <c r="Y53" s="46">
        <v>37</v>
      </c>
      <c r="Z53" s="762" t="str">
        <f>IFERROR(IF(AND('Project Info and Instructions'!F20="Rental",AN51&lt;AT51),"Rent Schedule - Tenant paid rent has not been indicated for all listed units."," ")," ")</f>
        <v xml:space="preserve"> </v>
      </c>
      <c r="AA53" s="82">
        <v>37</v>
      </c>
      <c r="AC53" s="767" t="str">
        <f t="shared" si="12"/>
        <v xml:space="preserve"> </v>
      </c>
      <c r="AI53" s="766"/>
      <c r="AJ53" s="46"/>
      <c r="AK53" s="46"/>
      <c r="AL53" s="46"/>
      <c r="AM53" s="46"/>
      <c r="AN53" s="46"/>
      <c r="AO53" s="46">
        <f>COUNTIF('B-Rent Schedule'!H52,"&gt;"&amp;0)</f>
        <v>0</v>
      </c>
      <c r="AP53" s="46"/>
    </row>
    <row r="54" spans="2:56" s="82" customFormat="1" ht="14.25" customHeight="1">
      <c r="B54" s="2406" t="str">
        <f t="shared" si="13"/>
        <v xml:space="preserve"> </v>
      </c>
      <c r="C54" s="2406"/>
      <c r="D54" s="2406"/>
      <c r="E54" s="2406"/>
      <c r="F54" s="2406"/>
      <c r="G54" s="2406"/>
      <c r="H54" s="2406"/>
      <c r="I54" s="2406"/>
      <c r="J54" s="2406"/>
      <c r="K54" s="2406"/>
      <c r="L54" s="2406"/>
      <c r="M54" s="2406"/>
      <c r="O54" s="82">
        <f t="shared" si="4"/>
        <v>0</v>
      </c>
      <c r="S54" s="46"/>
      <c r="T54" s="46"/>
      <c r="U54" s="46">
        <f t="shared" si="1"/>
        <v>16</v>
      </c>
      <c r="V54" s="46">
        <f t="shared" si="2"/>
        <v>0</v>
      </c>
      <c r="W54" s="46">
        <f t="shared" si="10"/>
        <v>0</v>
      </c>
      <c r="X54" s="46">
        <f t="shared" si="11"/>
        <v>0</v>
      </c>
      <c r="Y54" s="46">
        <v>38</v>
      </c>
      <c r="Z54" s="762" t="str">
        <f>IFERROR(IF(AND('Project Info and Instructions'!F20="Rental",AO51&lt;AO55),"Rent Schedule - Type of subsidy has not been indicated for all listed units where subsidy amount is &gt;$0."," ")," ")</f>
        <v xml:space="preserve"> </v>
      </c>
      <c r="AA54" s="82">
        <v>38</v>
      </c>
      <c r="AC54" s="767" t="str">
        <f t="shared" si="12"/>
        <v xml:space="preserve"> </v>
      </c>
      <c r="AO54" s="46">
        <f>COUNTIF('B-Rent Schedule'!H54,"&gt;"&amp;0)</f>
        <v>0</v>
      </c>
    </row>
    <row r="55" spans="2:56" s="82" customFormat="1" ht="14.25" customHeight="1">
      <c r="B55" s="2406" t="str">
        <f t="shared" si="13"/>
        <v xml:space="preserve"> </v>
      </c>
      <c r="C55" s="2406"/>
      <c r="D55" s="2406"/>
      <c r="E55" s="2406"/>
      <c r="F55" s="2406"/>
      <c r="G55" s="2406"/>
      <c r="H55" s="2406"/>
      <c r="I55" s="2406"/>
      <c r="J55" s="2406"/>
      <c r="K55" s="2406"/>
      <c r="L55" s="2406"/>
      <c r="M55" s="2406"/>
      <c r="O55" s="82">
        <f t="shared" si="4"/>
        <v>0</v>
      </c>
      <c r="S55" s="46"/>
      <c r="T55" s="46"/>
      <c r="U55" s="46">
        <f t="shared" si="1"/>
        <v>16</v>
      </c>
      <c r="V55" s="46">
        <f t="shared" si="2"/>
        <v>0</v>
      </c>
      <c r="W55" s="46">
        <f t="shared" si="10"/>
        <v>0</v>
      </c>
      <c r="X55" s="46">
        <f t="shared" si="11"/>
        <v>0</v>
      </c>
      <c r="Y55" s="46">
        <v>39</v>
      </c>
      <c r="Z55" s="762" t="str">
        <f>IFERROR(IF(AND('Project Info and Instructions'!F20="Rental",AP51&lt;AT51),"Rent Schedule - Assumed household sized has not been indicated for all listed units."," ")," ")</f>
        <v xml:space="preserve"> </v>
      </c>
      <c r="AA55" s="82">
        <v>39</v>
      </c>
      <c r="AC55" s="767" t="str">
        <f t="shared" si="12"/>
        <v xml:space="preserve"> </v>
      </c>
      <c r="AJ55" s="82">
        <f>SUM(AK50:AN50,AP50:AQ50)</f>
        <v>0</v>
      </c>
      <c r="AO55" s="770">
        <f>SUM(AO52:AO54)</f>
        <v>0</v>
      </c>
    </row>
    <row r="56" spans="2:56" s="82" customFormat="1" ht="14.25" customHeight="1">
      <c r="B56" s="2406" t="str">
        <f t="shared" si="13"/>
        <v xml:space="preserve"> </v>
      </c>
      <c r="C56" s="2406"/>
      <c r="D56" s="2406"/>
      <c r="E56" s="2406"/>
      <c r="F56" s="2406"/>
      <c r="G56" s="2406"/>
      <c r="H56" s="2406"/>
      <c r="I56" s="2406"/>
      <c r="J56" s="2406"/>
      <c r="K56" s="2406"/>
      <c r="L56" s="2406"/>
      <c r="M56" s="2406"/>
      <c r="O56" s="82">
        <f t="shared" si="4"/>
        <v>0</v>
      </c>
      <c r="S56" s="46"/>
      <c r="T56" s="46"/>
      <c r="U56" s="46">
        <f t="shared" si="1"/>
        <v>16</v>
      </c>
      <c r="V56" s="46">
        <f t="shared" si="2"/>
        <v>0</v>
      </c>
      <c r="W56" s="46">
        <f t="shared" si="10"/>
        <v>0</v>
      </c>
      <c r="X56" s="46">
        <f t="shared" si="11"/>
        <v>0</v>
      </c>
      <c r="Y56" s="46">
        <v>40</v>
      </c>
      <c r="Z56" s="762" t="str">
        <f>IFERROR(IF(AND('Project Info and Instructions'!F20="Rental",AQ51&lt;AT51),"Rent Schedule - Monthly utility amount has not been indicated for all listed units."," ")," ")</f>
        <v xml:space="preserve"> </v>
      </c>
      <c r="AA56" s="82">
        <v>40</v>
      </c>
      <c r="AC56" s="767" t="str">
        <f t="shared" si="12"/>
        <v xml:space="preserve"> </v>
      </c>
    </row>
    <row r="57" spans="2:56" s="82" customFormat="1" ht="14.25" customHeight="1">
      <c r="B57" s="2406" t="str">
        <f t="shared" si="13"/>
        <v xml:space="preserve"> </v>
      </c>
      <c r="C57" s="2406"/>
      <c r="D57" s="2406"/>
      <c r="E57" s="2406"/>
      <c r="F57" s="2406"/>
      <c r="G57" s="2406"/>
      <c r="H57" s="2406"/>
      <c r="I57" s="2406"/>
      <c r="J57" s="2406"/>
      <c r="K57" s="2406"/>
      <c r="L57" s="2406"/>
      <c r="M57" s="2406"/>
      <c r="O57" s="82">
        <f t="shared" si="4"/>
        <v>0</v>
      </c>
      <c r="S57" s="46"/>
      <c r="T57" s="46"/>
      <c r="U57" s="46">
        <f t="shared" si="1"/>
        <v>10</v>
      </c>
      <c r="V57" s="46">
        <f t="shared" si="2"/>
        <v>6</v>
      </c>
      <c r="W57" s="46">
        <f t="shared" si="10"/>
        <v>1</v>
      </c>
      <c r="X57" s="46">
        <f t="shared" si="11"/>
        <v>1</v>
      </c>
      <c r="Y57" s="46">
        <v>41</v>
      </c>
      <c r="Z57" s="762" t="str">
        <f>IFERROR(IF(AND('Project Info and Instructions'!F20="Rental",'B-Rent Schedule'!X10=1),"Rent Schedule - A state has not been selected."," ")," ")</f>
        <v>Rent Schedule - A state has not been selected.</v>
      </c>
      <c r="AA57" s="82">
        <v>41</v>
      </c>
      <c r="AC57" s="767" t="str">
        <f t="shared" si="12"/>
        <v xml:space="preserve"> </v>
      </c>
    </row>
    <row r="58" spans="2:56" s="82" customFormat="1" ht="14.25" customHeight="1">
      <c r="B58" s="2406" t="str">
        <f t="shared" si="13"/>
        <v xml:space="preserve"> </v>
      </c>
      <c r="C58" s="2406"/>
      <c r="D58" s="2406"/>
      <c r="E58" s="2406"/>
      <c r="F58" s="2406"/>
      <c r="G58" s="2406"/>
      <c r="H58" s="2406"/>
      <c r="I58" s="2406"/>
      <c r="J58" s="2406"/>
      <c r="K58" s="2406"/>
      <c r="L58" s="2406"/>
      <c r="M58" s="2406"/>
      <c r="O58" s="82">
        <f t="shared" si="4"/>
        <v>0</v>
      </c>
      <c r="S58" s="46"/>
      <c r="T58" s="46"/>
      <c r="U58" s="46">
        <f t="shared" si="1"/>
        <v>9</v>
      </c>
      <c r="V58" s="46">
        <f t="shared" si="2"/>
        <v>7</v>
      </c>
      <c r="W58" s="46">
        <f t="shared" si="10"/>
        <v>2</v>
      </c>
      <c r="X58" s="46">
        <f t="shared" si="11"/>
        <v>1</v>
      </c>
      <c r="Y58" s="46">
        <v>42</v>
      </c>
      <c r="Z58" s="762" t="str">
        <f>IFERROR(IF(AND('Project Info and Instructions'!F20="Rental",'B-Rent Schedule'!X14=1),"Rent Schedule - A county has not been selected."," ")," ")</f>
        <v>Rent Schedule - A county has not been selected.</v>
      </c>
      <c r="AA58" s="82">
        <v>42</v>
      </c>
      <c r="AC58" s="767" t="str">
        <f t="shared" si="12"/>
        <v xml:space="preserve"> </v>
      </c>
    </row>
    <row r="59" spans="2:56" s="82" customFormat="1" ht="14.25" customHeight="1">
      <c r="B59" s="2406" t="str">
        <f t="shared" si="13"/>
        <v xml:space="preserve"> </v>
      </c>
      <c r="C59" s="2406"/>
      <c r="D59" s="2406"/>
      <c r="E59" s="2406"/>
      <c r="F59" s="2406"/>
      <c r="G59" s="2406"/>
      <c r="H59" s="2406"/>
      <c r="I59" s="2406"/>
      <c r="J59" s="2406"/>
      <c r="K59" s="2406"/>
      <c r="L59" s="2406"/>
      <c r="M59" s="2406"/>
      <c r="O59" s="82">
        <f t="shared" si="4"/>
        <v>0</v>
      </c>
      <c r="S59" s="46"/>
      <c r="T59" s="46"/>
      <c r="U59" s="46">
        <f t="shared" si="1"/>
        <v>8</v>
      </c>
      <c r="V59" s="46">
        <f t="shared" ref="V59:V122" si="15">IF(X59&gt;0,SUMIF(Y:Y,"&lt;="&amp;AA59,X:X),0)</f>
        <v>8</v>
      </c>
      <c r="W59" s="46">
        <f t="shared" ref="W59:W122" si="16">IF(X59&gt;0,W58+X59,0)</f>
        <v>3</v>
      </c>
      <c r="X59" s="46">
        <f t="shared" ref="X59:X122" si="17">IF(Z59=" ",0,1)</f>
        <v>1</v>
      </c>
      <c r="Y59" s="46">
        <v>43</v>
      </c>
      <c r="Z59" s="762" t="str">
        <f>IFERROR(IF(AND('Project Info and Instructions'!F20="Rental",'B-Rent Schedule'!P58=""),"Rent Schedule - Number of units reserved for special needs households has not been indicated."," ")," ")</f>
        <v>Rent Schedule - Number of units reserved for special needs households has not been indicated.</v>
      </c>
      <c r="AA59" s="82">
        <v>43</v>
      </c>
      <c r="AC59" s="767" t="str">
        <f t="shared" si="12"/>
        <v xml:space="preserve"> </v>
      </c>
    </row>
    <row r="60" spans="2:56" s="82" customFormat="1" ht="14.25" customHeight="1">
      <c r="B60" s="2406" t="str">
        <f t="shared" si="13"/>
        <v xml:space="preserve"> </v>
      </c>
      <c r="C60" s="2406"/>
      <c r="D60" s="2406"/>
      <c r="E60" s="2406"/>
      <c r="F60" s="2406"/>
      <c r="G60" s="2406"/>
      <c r="H60" s="2406"/>
      <c r="I60" s="2406"/>
      <c r="J60" s="2406"/>
      <c r="K60" s="2406"/>
      <c r="L60" s="2406"/>
      <c r="M60" s="2406"/>
      <c r="O60" s="82">
        <f t="shared" si="4"/>
        <v>0</v>
      </c>
      <c r="S60" s="46"/>
      <c r="T60" s="46"/>
      <c r="U60" s="46">
        <f t="shared" si="1"/>
        <v>7</v>
      </c>
      <c r="V60" s="46">
        <f t="shared" si="15"/>
        <v>9</v>
      </c>
      <c r="W60" s="46">
        <f t="shared" si="16"/>
        <v>4</v>
      </c>
      <c r="X60" s="46">
        <f t="shared" si="17"/>
        <v>1</v>
      </c>
      <c r="Y60" s="46">
        <v>44</v>
      </c>
      <c r="Z60" s="769" t="str">
        <f>IFERROR(IF(AND('Project Info and Instructions'!F20="Rental",'B-Rent Schedule'!P60=""),"Rent Schedule - Number of units reserved for homeless households has not been indicated."," ")," ")</f>
        <v>Rent Schedule - Number of units reserved for homeless households has not been indicated.</v>
      </c>
      <c r="AA60" s="82">
        <v>44</v>
      </c>
      <c r="AC60" s="767" t="str">
        <f>IF($T$49&gt;=Y60,(VLOOKUP(Y60,$V$49:$AB$60,7,FALSE))," ")</f>
        <v xml:space="preserve"> </v>
      </c>
    </row>
    <row r="61" spans="2:56" s="82" customFormat="1" ht="14.25" customHeight="1">
      <c r="B61" s="2406" t="str">
        <f t="shared" si="13"/>
        <v xml:space="preserve"> </v>
      </c>
      <c r="C61" s="2406"/>
      <c r="D61" s="2406"/>
      <c r="E61" s="2406"/>
      <c r="F61" s="2406"/>
      <c r="G61" s="2406"/>
      <c r="H61" s="2406"/>
      <c r="I61" s="2406"/>
      <c r="J61" s="2406"/>
      <c r="K61" s="2406"/>
      <c r="L61" s="2406"/>
      <c r="M61" s="2406"/>
      <c r="O61" s="82">
        <f t="shared" si="4"/>
        <v>0</v>
      </c>
      <c r="S61" s="46"/>
      <c r="T61" s="46"/>
      <c r="U61" s="46">
        <f t="shared" si="1"/>
        <v>16</v>
      </c>
      <c r="V61" s="46">
        <f t="shared" si="15"/>
        <v>0</v>
      </c>
      <c r="W61" s="46">
        <f t="shared" si="16"/>
        <v>0</v>
      </c>
      <c r="X61" s="46">
        <f t="shared" si="17"/>
        <v>0</v>
      </c>
      <c r="Y61" s="46">
        <v>45</v>
      </c>
      <c r="Z61" s="762" t="str">
        <f>IFERROR(IF(AK67&lt;$AJ$67,"Rental Operating ProForma - An amount has not been provided in year 1 for all 'Other Income' listed."," ")," ")</f>
        <v xml:space="preserve"> </v>
      </c>
      <c r="AA61" s="82">
        <v>45</v>
      </c>
    </row>
    <row r="62" spans="2:56" s="82" customFormat="1" ht="14.25" customHeight="1">
      <c r="B62" s="2406" t="str">
        <f t="shared" si="13"/>
        <v xml:space="preserve"> </v>
      </c>
      <c r="C62" s="2406"/>
      <c r="D62" s="2406"/>
      <c r="E62" s="2406"/>
      <c r="F62" s="2406"/>
      <c r="G62" s="2406"/>
      <c r="H62" s="2406"/>
      <c r="I62" s="2406"/>
      <c r="J62" s="2406"/>
      <c r="K62" s="2406"/>
      <c r="L62" s="2406"/>
      <c r="M62" s="2406"/>
      <c r="O62" s="82">
        <f t="shared" si="4"/>
        <v>0</v>
      </c>
      <c r="S62" s="46"/>
      <c r="T62" s="46"/>
      <c r="U62" s="46">
        <f t="shared" si="1"/>
        <v>16</v>
      </c>
      <c r="V62" s="46">
        <f t="shared" si="15"/>
        <v>0</v>
      </c>
      <c r="W62" s="46">
        <f t="shared" si="16"/>
        <v>0</v>
      </c>
      <c r="X62" s="46">
        <f t="shared" si="17"/>
        <v>0</v>
      </c>
      <c r="Y62" s="46">
        <v>46</v>
      </c>
      <c r="Z62" s="762" t="str">
        <f>IFERROR(IF(AL67&lt;$AJ$67,"Rental Operating ProForma - An amount has not been provided in year 2 for all 'Other Income' listed."," ")," ")</f>
        <v xml:space="preserve"> </v>
      </c>
      <c r="AA62" s="82">
        <v>46</v>
      </c>
    </row>
    <row r="63" spans="2:56" s="82" customFormat="1" ht="14.25" customHeight="1">
      <c r="B63" s="2406" t="str">
        <f t="shared" si="13"/>
        <v xml:space="preserve"> </v>
      </c>
      <c r="C63" s="2406"/>
      <c r="D63" s="2406"/>
      <c r="E63" s="2406"/>
      <c r="F63" s="2406"/>
      <c r="G63" s="2406"/>
      <c r="H63" s="2406"/>
      <c r="I63" s="2406"/>
      <c r="J63" s="2406"/>
      <c r="K63" s="2406"/>
      <c r="L63" s="2406"/>
      <c r="M63" s="2406"/>
      <c r="O63" s="82">
        <f t="shared" si="4"/>
        <v>0</v>
      </c>
      <c r="S63" s="46"/>
      <c r="T63" s="46"/>
      <c r="U63" s="46">
        <f t="shared" si="1"/>
        <v>16</v>
      </c>
      <c r="V63" s="46">
        <f t="shared" si="15"/>
        <v>0</v>
      </c>
      <c r="W63" s="46">
        <f t="shared" si="16"/>
        <v>0</v>
      </c>
      <c r="X63" s="46">
        <f t="shared" si="17"/>
        <v>0</v>
      </c>
      <c r="Y63" s="46">
        <v>47</v>
      </c>
      <c r="Z63" s="762" t="str">
        <f>IFERROR(IF(AM67&lt;$AJ$67,"Rental Operating ProForma - An amount has not been provided in year 3 for all 'Other Income' listed."," ")," ")</f>
        <v xml:space="preserve"> </v>
      </c>
      <c r="AA63" s="82">
        <v>47</v>
      </c>
    </row>
    <row r="64" spans="2:56" s="82" customFormat="1" ht="14.25" customHeight="1">
      <c r="B64" s="2406" t="str">
        <f t="shared" si="13"/>
        <v xml:space="preserve"> </v>
      </c>
      <c r="C64" s="2406"/>
      <c r="D64" s="2406"/>
      <c r="E64" s="2406"/>
      <c r="F64" s="2406"/>
      <c r="G64" s="2406"/>
      <c r="H64" s="2406"/>
      <c r="I64" s="2406"/>
      <c r="J64" s="2406"/>
      <c r="K64" s="2406"/>
      <c r="L64" s="2406"/>
      <c r="M64" s="2406"/>
      <c r="O64" s="82">
        <f t="shared" si="4"/>
        <v>0</v>
      </c>
      <c r="S64" s="46"/>
      <c r="T64" s="46"/>
      <c r="U64" s="46">
        <f t="shared" si="1"/>
        <v>16</v>
      </c>
      <c r="V64" s="46">
        <f t="shared" si="15"/>
        <v>0</v>
      </c>
      <c r="W64" s="46">
        <f t="shared" si="16"/>
        <v>0</v>
      </c>
      <c r="X64" s="46">
        <f t="shared" si="17"/>
        <v>0</v>
      </c>
      <c r="Y64" s="46">
        <v>48</v>
      </c>
      <c r="Z64" s="762" t="str">
        <f>IFERROR(IF(AN67&lt;$AJ$67,"Rental Operating ProForma - An amount has not been provided in year 4 for all 'Other Income' listed."," ")," ")</f>
        <v xml:space="preserve"> </v>
      </c>
      <c r="AA64" s="82">
        <v>48</v>
      </c>
    </row>
    <row r="65" spans="2:56" s="82" customFormat="1" ht="14.25" customHeight="1">
      <c r="B65" s="2406" t="str">
        <f t="shared" si="13"/>
        <v xml:space="preserve"> </v>
      </c>
      <c r="C65" s="2406"/>
      <c r="D65" s="2406"/>
      <c r="E65" s="2406"/>
      <c r="F65" s="2406"/>
      <c r="G65" s="2406"/>
      <c r="H65" s="2406"/>
      <c r="I65" s="2406"/>
      <c r="J65" s="2406"/>
      <c r="K65" s="2406"/>
      <c r="L65" s="2406"/>
      <c r="M65" s="2406"/>
      <c r="O65" s="82">
        <f t="shared" si="4"/>
        <v>0</v>
      </c>
      <c r="S65" s="46"/>
      <c r="T65" s="46"/>
      <c r="U65" s="46">
        <f t="shared" si="1"/>
        <v>16</v>
      </c>
      <c r="V65" s="46">
        <f t="shared" si="15"/>
        <v>0</v>
      </c>
      <c r="W65" s="46">
        <f t="shared" si="16"/>
        <v>0</v>
      </c>
      <c r="X65" s="46">
        <f t="shared" si="17"/>
        <v>0</v>
      </c>
      <c r="Y65" s="46">
        <v>49</v>
      </c>
      <c r="Z65" s="762" t="str">
        <f>IFERROR(IF(AO67&lt;$AJ$67,"Rental Operating ProForma - An amount has not been provided in year 5 for all 'Other Income' listed."," ")," ")</f>
        <v xml:space="preserve"> </v>
      </c>
      <c r="AA65" s="82">
        <v>49</v>
      </c>
      <c r="AB65" s="772"/>
    </row>
    <row r="66" spans="2:56" s="82" customFormat="1" ht="14.25" customHeight="1">
      <c r="B66" s="2406" t="str">
        <f t="shared" si="13"/>
        <v xml:space="preserve"> </v>
      </c>
      <c r="C66" s="2406"/>
      <c r="D66" s="2406"/>
      <c r="E66" s="2406"/>
      <c r="F66" s="2406"/>
      <c r="G66" s="2406"/>
      <c r="H66" s="2406"/>
      <c r="I66" s="2406"/>
      <c r="J66" s="2406"/>
      <c r="K66" s="2406"/>
      <c r="L66" s="2406"/>
      <c r="M66" s="2406"/>
      <c r="N66" s="763"/>
      <c r="O66" s="82">
        <f t="shared" si="4"/>
        <v>0</v>
      </c>
      <c r="P66" s="763"/>
      <c r="S66" s="46"/>
      <c r="T66" s="46"/>
      <c r="U66" s="46">
        <f t="shared" si="1"/>
        <v>16</v>
      </c>
      <c r="V66" s="46">
        <f t="shared" si="15"/>
        <v>0</v>
      </c>
      <c r="W66" s="46">
        <f t="shared" si="16"/>
        <v>0</v>
      </c>
      <c r="X66" s="46">
        <f t="shared" si="17"/>
        <v>0</v>
      </c>
      <c r="Y66" s="46">
        <v>50</v>
      </c>
      <c r="Z66" s="762" t="str">
        <f>IFERROR(IF(AP67&lt;$AJ$67,"Rental Operating ProForma - An amount has not been provided in year 10 for all 'Other Income' listed."," ")," ")</f>
        <v xml:space="preserve"> </v>
      </c>
      <c r="AA66" s="82">
        <v>50</v>
      </c>
      <c r="AE66" s="776" t="str">
        <f>'Project Info and Instructions'!$F$20</f>
        <v>Rental</v>
      </c>
      <c r="AJ66" s="46" t="s">
        <v>842</v>
      </c>
      <c r="AK66" s="46" t="s">
        <v>8</v>
      </c>
      <c r="AL66" s="46" t="s">
        <v>9</v>
      </c>
      <c r="AM66" s="46" t="s">
        <v>10</v>
      </c>
      <c r="AN66" s="46" t="s">
        <v>11</v>
      </c>
      <c r="AO66" s="46" t="s">
        <v>12</v>
      </c>
      <c r="AP66" s="46" t="s">
        <v>13</v>
      </c>
      <c r="AQ66" s="82" t="s">
        <v>14</v>
      </c>
    </row>
    <row r="67" spans="2:56" s="82" customFormat="1" ht="14.25" customHeight="1">
      <c r="B67" s="2406" t="str">
        <f t="shared" si="13"/>
        <v xml:space="preserve"> </v>
      </c>
      <c r="C67" s="2406"/>
      <c r="D67" s="2406"/>
      <c r="E67" s="2406"/>
      <c r="F67" s="2406"/>
      <c r="G67" s="2406"/>
      <c r="H67" s="2406"/>
      <c r="I67" s="2406"/>
      <c r="J67" s="2406"/>
      <c r="K67" s="2406"/>
      <c r="L67" s="2406"/>
      <c r="M67" s="2406"/>
      <c r="O67" s="82">
        <f t="shared" si="4"/>
        <v>0</v>
      </c>
      <c r="S67" s="46"/>
      <c r="T67" s="46"/>
      <c r="U67" s="46">
        <f t="shared" si="1"/>
        <v>16</v>
      </c>
      <c r="V67" s="46">
        <f t="shared" si="15"/>
        <v>0</v>
      </c>
      <c r="W67" s="46">
        <f t="shared" si="16"/>
        <v>0</v>
      </c>
      <c r="X67" s="46">
        <f t="shared" si="17"/>
        <v>0</v>
      </c>
      <c r="Y67" s="46">
        <v>51</v>
      </c>
      <c r="Z67" s="762" t="str">
        <f>IFERROR(IF(AQ67&lt;$AJ$67,"Rental Operating ProForma - An amount has not been provided in year 15 for all 'Other Income' listed."," ")," ")</f>
        <v xml:space="preserve"> </v>
      </c>
      <c r="AA67" s="82">
        <v>51</v>
      </c>
      <c r="AE67" s="82" t="s">
        <v>951</v>
      </c>
      <c r="AF67" s="82" t="s">
        <v>952</v>
      </c>
      <c r="AJ67" s="46">
        <f>COUNTIF('C(1)-Rental Operating ProForma'!D17:H19,"&lt;&gt;")</f>
        <v>0</v>
      </c>
      <c r="AK67" s="46">
        <f>COUNTIF('C(1)-Rental Operating ProForma'!K17:K19,"&lt;&gt;")</f>
        <v>0</v>
      </c>
      <c r="AL67" s="46">
        <f>COUNTIF('C(1)-Rental Operating ProForma'!L17:L19,"&lt;&gt;")</f>
        <v>0</v>
      </c>
      <c r="AM67" s="46">
        <f>COUNTIF('C(1)-Rental Operating ProForma'!M17:M19,"&lt;&gt;")</f>
        <v>0</v>
      </c>
      <c r="AN67" s="46">
        <f>COUNTIF('C(1)-Rental Operating ProForma'!N17:N19,"&lt;&gt;")</f>
        <v>0</v>
      </c>
      <c r="AO67" s="46">
        <f>COUNTIF('C(1)-Rental Operating ProForma'!O17:O19,"&lt;&gt;")</f>
        <v>0</v>
      </c>
      <c r="AP67" s="46">
        <f>COUNTIF('C(1)-Rental Operating ProForma'!P17:P19,"&lt;&gt;")</f>
        <v>0</v>
      </c>
      <c r="AQ67" s="46">
        <f>COUNTIF('C(1)-Rental Operating ProForma'!Q17:Q19,"&lt;&gt;")</f>
        <v>0</v>
      </c>
      <c r="BD67" s="82">
        <f>COUNTIF(B64:B80,"&lt;&gt;"&amp;" ")</f>
        <v>0</v>
      </c>
    </row>
    <row r="68" spans="2:56" s="82" customFormat="1" ht="14.25" customHeight="1">
      <c r="B68" s="2406" t="str">
        <f t="shared" si="13"/>
        <v xml:space="preserve"> </v>
      </c>
      <c r="C68" s="2406"/>
      <c r="D68" s="2406"/>
      <c r="E68" s="2406"/>
      <c r="F68" s="2406"/>
      <c r="G68" s="2406"/>
      <c r="H68" s="2406"/>
      <c r="I68" s="2406"/>
      <c r="J68" s="2406"/>
      <c r="K68" s="2406"/>
      <c r="L68" s="2406"/>
      <c r="M68" s="2406"/>
      <c r="O68" s="82">
        <f t="shared" si="4"/>
        <v>0</v>
      </c>
      <c r="S68" s="46"/>
      <c r="T68" s="46"/>
      <c r="U68" s="46">
        <f t="shared" si="1"/>
        <v>6</v>
      </c>
      <c r="V68" s="46">
        <f t="shared" si="15"/>
        <v>10</v>
      </c>
      <c r="W68" s="46">
        <f t="shared" si="16"/>
        <v>1</v>
      </c>
      <c r="X68" s="46">
        <f t="shared" si="17"/>
        <v>1</v>
      </c>
      <c r="Y68" s="46">
        <v>52</v>
      </c>
      <c r="Z68" s="762" t="str">
        <f>IFERROR(IF(AND(AG6="Rental",'C(1)-Rental Operating ProForma'!H22=""),"Rental Operating ProForma - A vacancy rate has not been indicated."," ")," ")</f>
        <v>Rental Operating ProForma - A vacancy rate has not been indicated.</v>
      </c>
      <c r="AA68" s="82">
        <v>52</v>
      </c>
      <c r="AE68" s="82">
        <f>'C(1)-Rental Operating ProForma'!$AB$58</f>
        <v>0</v>
      </c>
      <c r="AF68" s="82">
        <f>'C(1)-Rental Operating ProForma'!$AF$58</f>
        <v>0</v>
      </c>
    </row>
    <row r="69" spans="2:56" s="82" customFormat="1" ht="14.25" customHeight="1">
      <c r="B69" s="2406" t="str">
        <f t="shared" si="13"/>
        <v xml:space="preserve"> </v>
      </c>
      <c r="C69" s="2406"/>
      <c r="D69" s="2406"/>
      <c r="E69" s="2406"/>
      <c r="F69" s="2406"/>
      <c r="G69" s="2406"/>
      <c r="H69" s="2406"/>
      <c r="I69" s="2406"/>
      <c r="J69" s="2406"/>
      <c r="K69" s="2406"/>
      <c r="L69" s="2406"/>
      <c r="M69" s="2406"/>
      <c r="O69" s="82">
        <f t="shared" si="4"/>
        <v>0</v>
      </c>
      <c r="S69" s="46"/>
      <c r="T69" s="46"/>
      <c r="U69" s="46">
        <f t="shared" si="1"/>
        <v>16</v>
      </c>
      <c r="V69" s="46">
        <f t="shared" si="15"/>
        <v>0</v>
      </c>
      <c r="W69" s="46">
        <f t="shared" si="16"/>
        <v>0</v>
      </c>
      <c r="X69" s="46">
        <f t="shared" si="17"/>
        <v>0</v>
      </c>
      <c r="Y69" s="46">
        <v>53</v>
      </c>
      <c r="Z69" s="762" t="str">
        <f>IFERROR(IF(AS73&gt;0,"Rental Operating ProForma - An 'Other Income' amount was indicated but no description was provided."," ")," ")</f>
        <v xml:space="preserve"> </v>
      </c>
      <c r="AA69" s="82">
        <v>53</v>
      </c>
      <c r="AJ69" s="46" t="s">
        <v>843</v>
      </c>
    </row>
    <row r="70" spans="2:56" s="82" customFormat="1" ht="14.25" customHeight="1">
      <c r="B70" s="2406" t="str">
        <f t="shared" si="13"/>
        <v xml:space="preserve"> </v>
      </c>
      <c r="C70" s="2406"/>
      <c r="D70" s="2406"/>
      <c r="E70" s="2406"/>
      <c r="F70" s="2406"/>
      <c r="G70" s="2406"/>
      <c r="H70" s="2406"/>
      <c r="I70" s="2406"/>
      <c r="J70" s="2406"/>
      <c r="K70" s="2406"/>
      <c r="L70" s="2406"/>
      <c r="M70" s="2406"/>
      <c r="O70" s="82">
        <f t="shared" si="4"/>
        <v>0</v>
      </c>
      <c r="S70" s="46"/>
      <c r="T70" s="46"/>
      <c r="U70" s="46">
        <f t="shared" si="1"/>
        <v>16</v>
      </c>
      <c r="V70" s="46">
        <f t="shared" si="15"/>
        <v>0</v>
      </c>
      <c r="W70" s="46">
        <f t="shared" si="16"/>
        <v>0</v>
      </c>
      <c r="X70" s="46">
        <f t="shared" si="17"/>
        <v>0</v>
      </c>
      <c r="Y70" s="46">
        <v>54</v>
      </c>
      <c r="Z70" s="762" t="str">
        <f>IFERROR(IF(AK75&lt;$AJ$75,"Rental Operating ProForma - An amount has not been provided in year 1 for all 'Other Expenses' listed."," ")," ")</f>
        <v xml:space="preserve"> </v>
      </c>
      <c r="AA70" s="82">
        <v>54</v>
      </c>
      <c r="AJ70" s="46">
        <f>COUNTIF('C(1)-Rental Operating ProForma'!D17:H17,"&lt;&gt;")</f>
        <v>0</v>
      </c>
      <c r="AK70" s="46">
        <f>COUNTIF('C(1)-Rental Operating ProForma'!K17,"&gt;0")</f>
        <v>0</v>
      </c>
      <c r="AL70" s="46">
        <f>COUNTIF('C(1)-Rental Operating ProForma'!L17,"&gt;0")</f>
        <v>0</v>
      </c>
      <c r="AM70" s="46">
        <f>COUNTIF('C(1)-Rental Operating ProForma'!M17,"&gt;0")</f>
        <v>0</v>
      </c>
      <c r="AN70" s="46">
        <f>COUNTIF('C(1)-Rental Operating ProForma'!N17,"&gt;0")</f>
        <v>0</v>
      </c>
      <c r="AO70" s="46">
        <f>COUNTIF('C(1)-Rental Operating ProForma'!O17,"&gt;0")</f>
        <v>0</v>
      </c>
      <c r="AP70" s="46">
        <f>COUNTIF('C(1)-Rental Operating ProForma'!P17,"&gt;0")</f>
        <v>0</v>
      </c>
      <c r="AQ70" s="46">
        <f>COUNTIF('C(1)-Rental Operating ProForma'!Q17,"&gt;0")</f>
        <v>0</v>
      </c>
      <c r="AR70" s="82">
        <f>COUNTIF(AK70:AQ70,"&gt;0")</f>
        <v>0</v>
      </c>
      <c r="AS70" s="82">
        <f>IF(AND(AJ70=0,AR70&gt;0),1,0)</f>
        <v>0</v>
      </c>
    </row>
    <row r="71" spans="2:56" s="82" customFormat="1" ht="14.25" customHeight="1">
      <c r="B71" s="2406" t="str">
        <f t="shared" si="13"/>
        <v xml:space="preserve"> </v>
      </c>
      <c r="C71" s="2406"/>
      <c r="D71" s="2406"/>
      <c r="E71" s="2406"/>
      <c r="F71" s="2406"/>
      <c r="G71" s="2406"/>
      <c r="H71" s="2406"/>
      <c r="I71" s="2406"/>
      <c r="J71" s="2406"/>
      <c r="K71" s="2406"/>
      <c r="L71" s="2406"/>
      <c r="M71" s="2406"/>
      <c r="O71" s="82">
        <f t="shared" si="4"/>
        <v>0</v>
      </c>
      <c r="S71" s="46"/>
      <c r="T71" s="46"/>
      <c r="U71" s="46">
        <f t="shared" si="1"/>
        <v>16</v>
      </c>
      <c r="V71" s="46">
        <f t="shared" si="15"/>
        <v>0</v>
      </c>
      <c r="W71" s="46">
        <f t="shared" si="16"/>
        <v>0</v>
      </c>
      <c r="X71" s="46">
        <f t="shared" si="17"/>
        <v>0</v>
      </c>
      <c r="Y71" s="46">
        <v>55</v>
      </c>
      <c r="Z71" s="762" t="str">
        <f>IFERROR(IF(AL75&lt;$AJ$75,"Rental Operating ProForma - An amount has not been provided in year 2 for all 'Other Expenses' listed."," ")," ")</f>
        <v xml:space="preserve"> </v>
      </c>
      <c r="AA71" s="82">
        <v>55</v>
      </c>
      <c r="AJ71" s="46">
        <f>COUNTIF('C(1)-Rental Operating ProForma'!D18:H18,"&lt;&gt;")</f>
        <v>0</v>
      </c>
      <c r="AK71" s="46">
        <f>COUNTIF('C(1)-Rental Operating ProForma'!K18,"&gt;0")</f>
        <v>0</v>
      </c>
      <c r="AL71" s="46">
        <f>COUNTIF('C(1)-Rental Operating ProForma'!L18,"&gt;0")</f>
        <v>0</v>
      </c>
      <c r="AM71" s="46">
        <f>COUNTIF('C(1)-Rental Operating ProForma'!M18,"&gt;0")</f>
        <v>0</v>
      </c>
      <c r="AN71" s="46">
        <f>COUNTIF('C(1)-Rental Operating ProForma'!N18,"&gt;0")</f>
        <v>0</v>
      </c>
      <c r="AO71" s="46">
        <f>COUNTIF('C(1)-Rental Operating ProForma'!O18,"&gt;0")</f>
        <v>0</v>
      </c>
      <c r="AP71" s="46">
        <f>COUNTIF('C(1)-Rental Operating ProForma'!P18,"&gt;0")</f>
        <v>0</v>
      </c>
      <c r="AQ71" s="46">
        <f>COUNTIF('C(1)-Rental Operating ProForma'!Q18,"&gt;0")</f>
        <v>0</v>
      </c>
      <c r="AR71" s="82">
        <f>COUNTIF(AK71:AQ71,"&gt;0")</f>
        <v>0</v>
      </c>
      <c r="AS71" s="82">
        <f>IF(AND(AJ71=0,AR71&gt;0),1,0)</f>
        <v>0</v>
      </c>
    </row>
    <row r="72" spans="2:56" s="82" customFormat="1" ht="14.25" customHeight="1">
      <c r="B72" s="2406" t="str">
        <f t="shared" si="13"/>
        <v xml:space="preserve"> </v>
      </c>
      <c r="C72" s="2406"/>
      <c r="D72" s="2406"/>
      <c r="E72" s="2406"/>
      <c r="F72" s="2406"/>
      <c r="G72" s="2406"/>
      <c r="H72" s="2406"/>
      <c r="I72" s="2406"/>
      <c r="J72" s="2406"/>
      <c r="K72" s="2406"/>
      <c r="L72" s="2406"/>
      <c r="M72" s="2406"/>
      <c r="O72" s="82">
        <f t="shared" si="4"/>
        <v>0</v>
      </c>
      <c r="S72" s="46"/>
      <c r="T72" s="46"/>
      <c r="U72" s="46">
        <f t="shared" si="1"/>
        <v>16</v>
      </c>
      <c r="V72" s="46">
        <f t="shared" si="15"/>
        <v>0</v>
      </c>
      <c r="W72" s="46">
        <f t="shared" si="16"/>
        <v>0</v>
      </c>
      <c r="X72" s="46">
        <f t="shared" si="17"/>
        <v>0</v>
      </c>
      <c r="Y72" s="46">
        <v>56</v>
      </c>
      <c r="Z72" s="762" t="str">
        <f>IFERROR(IF(AM75&lt;$AJ$75,"Rental Operating ProForma - An amount has not been provided in year 3 for all 'Other Expenses' listed."," ")," ")</f>
        <v xml:space="preserve"> </v>
      </c>
      <c r="AA72" s="82">
        <v>56</v>
      </c>
      <c r="AJ72" s="46">
        <f>COUNTIF('C(1)-Rental Operating ProForma'!D19:H19,"&lt;&gt;")</f>
        <v>0</v>
      </c>
      <c r="AK72" s="46">
        <f>COUNTIF('C(1)-Rental Operating ProForma'!K19,"&gt;0")</f>
        <v>0</v>
      </c>
      <c r="AL72" s="46">
        <f>COUNTIF('C(1)-Rental Operating ProForma'!L19,"&gt;0")</f>
        <v>0</v>
      </c>
      <c r="AM72" s="46">
        <f>COUNTIF('C(1)-Rental Operating ProForma'!M19,"&gt;0")</f>
        <v>0</v>
      </c>
      <c r="AN72" s="46">
        <f>COUNTIF('C(1)-Rental Operating ProForma'!N19,"&gt;0")</f>
        <v>0</v>
      </c>
      <c r="AO72" s="46">
        <f>COUNTIF('C(1)-Rental Operating ProForma'!O19,"&gt;0")</f>
        <v>0</v>
      </c>
      <c r="AP72" s="46">
        <f>COUNTIF('C(1)-Rental Operating ProForma'!P19,"&gt;0")</f>
        <v>0</v>
      </c>
      <c r="AQ72" s="46">
        <f>COUNTIF('C(1)-Rental Operating ProForma'!Q19,"&gt;0")</f>
        <v>0</v>
      </c>
      <c r="AR72" s="82">
        <f>COUNTIF(AK72:AQ72,"&gt;0")</f>
        <v>0</v>
      </c>
      <c r="AS72" s="82">
        <f>IF(AND(AJ72=0,AR72&gt;0),1,0)</f>
        <v>0</v>
      </c>
    </row>
    <row r="73" spans="2:56" s="82" customFormat="1" ht="14.25" customHeight="1">
      <c r="B73" s="2406" t="str">
        <f t="shared" si="13"/>
        <v xml:space="preserve"> </v>
      </c>
      <c r="C73" s="2406"/>
      <c r="D73" s="2406"/>
      <c r="E73" s="2406"/>
      <c r="F73" s="2406"/>
      <c r="G73" s="2406"/>
      <c r="H73" s="2406"/>
      <c r="I73" s="2406"/>
      <c r="J73" s="2406"/>
      <c r="K73" s="2406"/>
      <c r="L73" s="2406"/>
      <c r="M73" s="2406"/>
      <c r="O73" s="82">
        <f t="shared" si="4"/>
        <v>0</v>
      </c>
      <c r="S73" s="46"/>
      <c r="T73" s="46"/>
      <c r="U73" s="46">
        <f t="shared" si="1"/>
        <v>16</v>
      </c>
      <c r="V73" s="46">
        <f t="shared" si="15"/>
        <v>0</v>
      </c>
      <c r="W73" s="46">
        <f t="shared" si="16"/>
        <v>0</v>
      </c>
      <c r="X73" s="46">
        <f t="shared" si="17"/>
        <v>0</v>
      </c>
      <c r="Y73" s="46">
        <v>57</v>
      </c>
      <c r="Z73" s="762" t="str">
        <f>IFERROR(IF(AN75&lt;$AJ$75,"Rental Operating ProForma - An amount has not been provided in year 4 for all 'Other Expenses' listed."," ")," ")</f>
        <v xml:space="preserve"> </v>
      </c>
      <c r="AA73" s="82">
        <v>57</v>
      </c>
      <c r="AS73" s="82">
        <f>SUM(AS70:AS72)</f>
        <v>0</v>
      </c>
    </row>
    <row r="74" spans="2:56" s="82" customFormat="1" ht="14.25" customHeight="1">
      <c r="B74" s="2406" t="str">
        <f t="shared" si="13"/>
        <v xml:space="preserve"> </v>
      </c>
      <c r="C74" s="2406"/>
      <c r="D74" s="2406"/>
      <c r="E74" s="2406"/>
      <c r="F74" s="2406"/>
      <c r="G74" s="2406"/>
      <c r="H74" s="2406"/>
      <c r="I74" s="2406"/>
      <c r="J74" s="2406"/>
      <c r="K74" s="2406"/>
      <c r="L74" s="2406"/>
      <c r="M74" s="2406"/>
      <c r="O74" s="82">
        <f t="shared" si="4"/>
        <v>0</v>
      </c>
      <c r="S74" s="46"/>
      <c r="T74" s="46"/>
      <c r="U74" s="46">
        <f t="shared" si="1"/>
        <v>16</v>
      </c>
      <c r="V74" s="46">
        <f t="shared" si="15"/>
        <v>0</v>
      </c>
      <c r="W74" s="46">
        <f t="shared" si="16"/>
        <v>0</v>
      </c>
      <c r="X74" s="46">
        <f t="shared" si="17"/>
        <v>0</v>
      </c>
      <c r="Y74" s="46">
        <v>58</v>
      </c>
      <c r="Z74" s="762" t="str">
        <f>IFERROR(IF(AO75&lt;$AJ$75,"Rental Operating ProForma - An amount has not been provided in year 5 for all 'Other Expenses' listed."," ")," ")</f>
        <v xml:space="preserve"> </v>
      </c>
      <c r="AA74" s="82">
        <v>58</v>
      </c>
      <c r="AJ74" s="46" t="s">
        <v>844</v>
      </c>
      <c r="AK74" s="46" t="s">
        <v>8</v>
      </c>
      <c r="AL74" s="46" t="s">
        <v>9</v>
      </c>
      <c r="AM74" s="46" t="s">
        <v>10</v>
      </c>
      <c r="AN74" s="46" t="s">
        <v>11</v>
      </c>
      <c r="AO74" s="46" t="s">
        <v>12</v>
      </c>
      <c r="AP74" s="46" t="s">
        <v>13</v>
      </c>
      <c r="AQ74" s="82" t="s">
        <v>14</v>
      </c>
    </row>
    <row r="75" spans="2:56" s="82" customFormat="1" ht="14.25" customHeight="1">
      <c r="B75" s="2406" t="str">
        <f t="shared" si="13"/>
        <v xml:space="preserve"> </v>
      </c>
      <c r="C75" s="2406"/>
      <c r="D75" s="2406"/>
      <c r="E75" s="2406"/>
      <c r="F75" s="2406"/>
      <c r="G75" s="2406"/>
      <c r="H75" s="2406"/>
      <c r="I75" s="2406"/>
      <c r="J75" s="2406"/>
      <c r="K75" s="2406"/>
      <c r="L75" s="2406"/>
      <c r="M75" s="2406"/>
      <c r="O75" s="82">
        <f t="shared" si="4"/>
        <v>0</v>
      </c>
      <c r="S75" s="46"/>
      <c r="T75" s="46"/>
      <c r="U75" s="46">
        <f t="shared" si="1"/>
        <v>16</v>
      </c>
      <c r="V75" s="46">
        <f t="shared" si="15"/>
        <v>0</v>
      </c>
      <c r="W75" s="46">
        <f t="shared" si="16"/>
        <v>0</v>
      </c>
      <c r="X75" s="46">
        <f t="shared" si="17"/>
        <v>0</v>
      </c>
      <c r="Y75" s="46">
        <v>59</v>
      </c>
      <c r="Z75" s="762" t="str">
        <f>IFERROR(IF(AP75&lt;$AJ$75,"Rental Operating ProForma - An amount has not been provided in year 10 for all 'Other Expenses' listed."," ")," ")</f>
        <v xml:space="preserve"> </v>
      </c>
      <c r="AA75" s="82">
        <v>59</v>
      </c>
      <c r="AJ75" s="46">
        <f>COUNTIF('C(1)-Rental Operating ProForma'!D39:H41,"&lt;&gt;")</f>
        <v>0</v>
      </c>
      <c r="AK75" s="46">
        <f>COUNTIF('C(1)-Rental Operating ProForma'!K39:K41,"&lt;&gt;")</f>
        <v>0</v>
      </c>
      <c r="AL75" s="46">
        <f>COUNTIF('C(1)-Rental Operating ProForma'!L39:L41,"&lt;&gt;")</f>
        <v>0</v>
      </c>
      <c r="AM75" s="46">
        <f>COUNTIF('C(1)-Rental Operating ProForma'!M39:M41,"&lt;&gt;")</f>
        <v>0</v>
      </c>
      <c r="AN75" s="46">
        <f>COUNTIF('C(1)-Rental Operating ProForma'!N39:N41,"&lt;&gt;")</f>
        <v>0</v>
      </c>
      <c r="AO75" s="46">
        <f>COUNTIF('C(1)-Rental Operating ProForma'!O39:O41,"&lt;&gt;")</f>
        <v>0</v>
      </c>
      <c r="AP75" s="46">
        <f>COUNTIF('C(1)-Rental Operating ProForma'!P39:P41,"&lt;&gt;")</f>
        <v>0</v>
      </c>
      <c r="AQ75" s="46">
        <f>COUNTIF('C(1)-Rental Operating ProForma'!Q39:Q41,"&lt;&gt;")</f>
        <v>0</v>
      </c>
    </row>
    <row r="76" spans="2:56" s="82" customFormat="1" ht="14.25" customHeight="1">
      <c r="B76" s="2406" t="str">
        <f t="shared" si="13"/>
        <v xml:space="preserve"> </v>
      </c>
      <c r="C76" s="2406"/>
      <c r="D76" s="2406"/>
      <c r="E76" s="2406"/>
      <c r="F76" s="2406"/>
      <c r="G76" s="2406"/>
      <c r="H76" s="2406"/>
      <c r="I76" s="2406"/>
      <c r="J76" s="2406"/>
      <c r="K76" s="2406"/>
      <c r="L76" s="2406"/>
      <c r="M76" s="2406"/>
      <c r="O76" s="82">
        <f t="shared" si="4"/>
        <v>0</v>
      </c>
      <c r="S76" s="46"/>
      <c r="T76" s="46"/>
      <c r="U76" s="46">
        <f t="shared" si="1"/>
        <v>16</v>
      </c>
      <c r="V76" s="46">
        <f t="shared" si="15"/>
        <v>0</v>
      </c>
      <c r="W76" s="46">
        <f t="shared" si="16"/>
        <v>0</v>
      </c>
      <c r="X76" s="46">
        <f t="shared" si="17"/>
        <v>0</v>
      </c>
      <c r="Y76" s="46">
        <v>60</v>
      </c>
      <c r="Z76" s="762" t="str">
        <f>IFERROR(IF(AQ75&lt;$AJ$75,"Rental Operating ProForma - An amount has not been provided in year 15 for all 'Other Expenses' listed."," ")," ")</f>
        <v xml:space="preserve"> </v>
      </c>
      <c r="AA76" s="82">
        <v>60</v>
      </c>
      <c r="AC76" s="82" t="str">
        <f>'Project Info and Instructions'!$F$22</f>
        <v>Select 'Yes' or 'No'</v>
      </c>
    </row>
    <row r="77" spans="2:56" s="82" customFormat="1" ht="14.25" customHeight="1">
      <c r="B77" s="2406" t="str">
        <f t="shared" si="13"/>
        <v xml:space="preserve"> </v>
      </c>
      <c r="C77" s="2406"/>
      <c r="D77" s="2406"/>
      <c r="E77" s="2406"/>
      <c r="F77" s="2406"/>
      <c r="G77" s="2406"/>
      <c r="H77" s="2406"/>
      <c r="I77" s="2406"/>
      <c r="J77" s="2406"/>
      <c r="K77" s="2406"/>
      <c r="L77" s="2406"/>
      <c r="M77" s="2406"/>
      <c r="O77" s="82">
        <f t="shared" si="4"/>
        <v>0</v>
      </c>
      <c r="S77" s="46"/>
      <c r="T77" s="46"/>
      <c r="U77" s="46">
        <f t="shared" si="1"/>
        <v>16</v>
      </c>
      <c r="V77" s="46">
        <f t="shared" si="15"/>
        <v>0</v>
      </c>
      <c r="W77" s="46">
        <f t="shared" si="16"/>
        <v>0</v>
      </c>
      <c r="X77" s="46">
        <f t="shared" si="17"/>
        <v>0</v>
      </c>
      <c r="Y77" s="46">
        <v>61</v>
      </c>
      <c r="Z77" s="762" t="str">
        <f>IFERROR(IF(AND(AE66="Rental",AE68&gt;0),"Rental Operating ProForma - The debt service for all 'Other' permanent loans was not provided for all years (input $0 if no debt service in a particular year)."," ")," ")</f>
        <v xml:space="preserve"> </v>
      </c>
      <c r="AA77" s="82">
        <v>61</v>
      </c>
      <c r="AJ77" s="46" t="s">
        <v>845</v>
      </c>
    </row>
    <row r="78" spans="2:56" s="82" customFormat="1" ht="14.25" customHeight="1">
      <c r="B78" s="2406" t="str">
        <f t="shared" si="13"/>
        <v xml:space="preserve"> </v>
      </c>
      <c r="C78" s="2406"/>
      <c r="D78" s="2406"/>
      <c r="E78" s="2406"/>
      <c r="F78" s="2406"/>
      <c r="G78" s="2406"/>
      <c r="H78" s="2406"/>
      <c r="I78" s="2406"/>
      <c r="J78" s="2406"/>
      <c r="K78" s="2406"/>
      <c r="L78" s="2406"/>
      <c r="M78" s="2406"/>
      <c r="O78" s="82">
        <f t="shared" si="4"/>
        <v>0</v>
      </c>
      <c r="S78" s="46"/>
      <c r="T78" s="46"/>
      <c r="U78" s="46">
        <f t="shared" si="1"/>
        <v>16</v>
      </c>
      <c r="V78" s="46">
        <f t="shared" si="15"/>
        <v>0</v>
      </c>
      <c r="W78" s="46">
        <f t="shared" si="16"/>
        <v>0</v>
      </c>
      <c r="X78" s="46">
        <f t="shared" si="17"/>
        <v>0</v>
      </c>
      <c r="Y78" s="46">
        <v>62</v>
      </c>
      <c r="Z78" s="762" t="str">
        <f>IFERROR(IF(AND(AE66="Rental",AF68&gt;0),"Rental Operating ProForma - The debt service for all 'Cash Flow' permanent loans was not provided for all years (input $0 if no debt service in a particular year)."," ")," ")</f>
        <v xml:space="preserve"> </v>
      </c>
      <c r="AA78" s="82">
        <v>62</v>
      </c>
      <c r="AJ78" s="46">
        <f>COUNTIF('C(1)-Rental Operating ProForma'!D39:H39,"&lt;&gt;")</f>
        <v>0</v>
      </c>
      <c r="AK78" s="46">
        <f>COUNTIF('C(1)-Rental Operating ProForma'!K39,"&gt;0")</f>
        <v>0</v>
      </c>
      <c r="AL78" s="46">
        <f>COUNTIF('C(1)-Rental Operating ProForma'!L39,"&gt;0")</f>
        <v>0</v>
      </c>
      <c r="AM78" s="46">
        <f>COUNTIF('C(1)-Rental Operating ProForma'!M39,"&gt;0")</f>
        <v>0</v>
      </c>
      <c r="AN78" s="46">
        <f>COUNTIF('C(1)-Rental Operating ProForma'!N39,"&gt;0")</f>
        <v>0</v>
      </c>
      <c r="AO78" s="46">
        <f>COUNTIF('C(1)-Rental Operating ProForma'!O39,"&gt;0")</f>
        <v>0</v>
      </c>
      <c r="AP78" s="46">
        <f>COUNTIF('C(1)-Rental Operating ProForma'!P39,"&gt;0")</f>
        <v>0</v>
      </c>
      <c r="AQ78" s="46">
        <f>COUNTIF('C(1)-Rental Operating ProForma'!Q39,"&gt;0")</f>
        <v>0</v>
      </c>
      <c r="AR78" s="82">
        <f>COUNTIF(AK78:AQ78,"&gt;0")</f>
        <v>0</v>
      </c>
      <c r="AS78" s="82">
        <f>IF(AND(AJ78=0,AR78&gt;0),1,0)</f>
        <v>0</v>
      </c>
    </row>
    <row r="79" spans="2:56" s="82" customFormat="1" ht="14.25" customHeight="1">
      <c r="B79" s="2406" t="str">
        <f t="shared" si="13"/>
        <v xml:space="preserve"> </v>
      </c>
      <c r="C79" s="2406"/>
      <c r="D79" s="2406"/>
      <c r="E79" s="2406"/>
      <c r="F79" s="2406"/>
      <c r="G79" s="2406"/>
      <c r="H79" s="2406"/>
      <c r="I79" s="2406"/>
      <c r="J79" s="2406"/>
      <c r="K79" s="2406"/>
      <c r="L79" s="2406"/>
      <c r="M79" s="2406"/>
      <c r="O79" s="82">
        <f t="shared" si="4"/>
        <v>0</v>
      </c>
      <c r="S79" s="46"/>
      <c r="T79" s="46"/>
      <c r="U79" s="46">
        <f t="shared" si="1"/>
        <v>16</v>
      </c>
      <c r="V79" s="46">
        <f t="shared" si="15"/>
        <v>0</v>
      </c>
      <c r="W79" s="46">
        <f t="shared" si="16"/>
        <v>0</v>
      </c>
      <c r="X79" s="46">
        <f t="shared" si="17"/>
        <v>0</v>
      </c>
      <c r="Y79" s="46">
        <v>63</v>
      </c>
      <c r="Z79" s="762" t="str">
        <f>IFERROR(IF(AS81&gt;0,"Rental Operating ProForma - An 'Other Expense' amount was indicated but no description was provided."," ")," ")</f>
        <v xml:space="preserve"> </v>
      </c>
      <c r="AA79" s="82">
        <v>63</v>
      </c>
      <c r="AJ79" s="46">
        <f>COUNTIF('C(1)-Rental Operating ProForma'!D40:H40,"&lt;&gt;")</f>
        <v>0</v>
      </c>
      <c r="AK79" s="46">
        <f>COUNTIF('C(1)-Rental Operating ProForma'!K40,"&gt;0")</f>
        <v>0</v>
      </c>
      <c r="AL79" s="46">
        <f>COUNTIF('C(1)-Rental Operating ProForma'!L40,"&gt;0")</f>
        <v>0</v>
      </c>
      <c r="AM79" s="46">
        <f>COUNTIF('C(1)-Rental Operating ProForma'!M40,"&gt;0")</f>
        <v>0</v>
      </c>
      <c r="AN79" s="46">
        <f>COUNTIF('C(1)-Rental Operating ProForma'!N40,"&gt;0")</f>
        <v>0</v>
      </c>
      <c r="AO79" s="46">
        <f>COUNTIF('C(1)-Rental Operating ProForma'!O40,"&gt;0")</f>
        <v>0</v>
      </c>
      <c r="AP79" s="46">
        <f>COUNTIF('C(1)-Rental Operating ProForma'!P40,"&gt;0")</f>
        <v>0</v>
      </c>
      <c r="AQ79" s="46">
        <f>COUNTIF('C(1)-Rental Operating ProForma'!Q40,"&gt;0")</f>
        <v>0</v>
      </c>
      <c r="AR79" s="82">
        <f>COUNTIF(AK79:AQ79,"&gt;0")</f>
        <v>0</v>
      </c>
      <c r="AS79" s="82">
        <f>IF(AND(AJ79=0,AR79&gt;0),1,0)</f>
        <v>0</v>
      </c>
    </row>
    <row r="80" spans="2:56" s="82" customFormat="1" ht="14.25" customHeight="1">
      <c r="B80" s="2406" t="str">
        <f t="shared" si="13"/>
        <v xml:space="preserve"> </v>
      </c>
      <c r="C80" s="2406"/>
      <c r="D80" s="2406"/>
      <c r="E80" s="2406"/>
      <c r="F80" s="2406"/>
      <c r="G80" s="2406"/>
      <c r="H80" s="2406"/>
      <c r="I80" s="2406"/>
      <c r="J80" s="2406"/>
      <c r="K80" s="2406"/>
      <c r="L80" s="2406"/>
      <c r="M80" s="2406"/>
      <c r="O80" s="82">
        <f t="shared" si="4"/>
        <v>0</v>
      </c>
      <c r="S80" s="46"/>
      <c r="T80" s="46"/>
      <c r="U80" s="46">
        <f t="shared" si="1"/>
        <v>16</v>
      </c>
      <c r="V80" s="46">
        <f t="shared" si="15"/>
        <v>0</v>
      </c>
      <c r="W80" s="46">
        <f t="shared" si="16"/>
        <v>0</v>
      </c>
      <c r="X80" s="46">
        <f t="shared" si="17"/>
        <v>0</v>
      </c>
      <c r="Y80" s="46">
        <v>64</v>
      </c>
      <c r="Z80" s="762" t="str">
        <f>IFERROR(IF(AK84&lt;$AJ$84,"Commercial ProForma - Amount has not been provided in year 1 for all 'Other Income' listed."," ")," ")</f>
        <v xml:space="preserve"> </v>
      </c>
      <c r="AA80" s="82">
        <v>64</v>
      </c>
      <c r="AJ80" s="46">
        <f>COUNTIF('C(1)-Rental Operating ProForma'!D41:H41,"&lt;&gt;")</f>
        <v>0</v>
      </c>
      <c r="AK80" s="46">
        <f>COUNTIF('C(1)-Rental Operating ProForma'!K41,"&gt;0")</f>
        <v>0</v>
      </c>
      <c r="AL80" s="46">
        <f>COUNTIF('C(1)-Rental Operating ProForma'!L41,"&gt;0")</f>
        <v>0</v>
      </c>
      <c r="AM80" s="46">
        <f>COUNTIF('C(1)-Rental Operating ProForma'!M41,"&gt;0")</f>
        <v>0</v>
      </c>
      <c r="AN80" s="46">
        <f>COUNTIF('C(1)-Rental Operating ProForma'!N41,"&gt;0")</f>
        <v>0</v>
      </c>
      <c r="AO80" s="46">
        <f>COUNTIF('C(1)-Rental Operating ProForma'!O41,"&gt;0")</f>
        <v>0</v>
      </c>
      <c r="AP80" s="46">
        <f>COUNTIF('C(1)-Rental Operating ProForma'!P41,"&gt;0")</f>
        <v>0</v>
      </c>
      <c r="AQ80" s="46">
        <f>COUNTIF('C(1)-Rental Operating ProForma'!Q41,"&gt;0")</f>
        <v>0</v>
      </c>
      <c r="AR80" s="82">
        <f>COUNTIF(AK80:AQ80,"&gt;0")</f>
        <v>0</v>
      </c>
      <c r="AS80" s="82">
        <f>IF(AND(AJ80=0,AR80&gt;0),1,0)</f>
        <v>0</v>
      </c>
    </row>
    <row r="81" spans="2:56" s="82" customFormat="1" ht="14.25" customHeight="1">
      <c r="B81" s="2406" t="str">
        <f t="shared" si="13"/>
        <v xml:space="preserve"> </v>
      </c>
      <c r="C81" s="2406"/>
      <c r="D81" s="2406"/>
      <c r="E81" s="2406"/>
      <c r="F81" s="2406"/>
      <c r="G81" s="2406"/>
      <c r="H81" s="2406"/>
      <c r="I81" s="2406"/>
      <c r="J81" s="2406"/>
      <c r="K81" s="2406"/>
      <c r="L81" s="2406"/>
      <c r="M81" s="2406"/>
      <c r="O81" s="82">
        <f t="shared" si="4"/>
        <v>0</v>
      </c>
      <c r="S81" s="46"/>
      <c r="T81" s="46"/>
      <c r="U81" s="46">
        <f t="shared" ref="U81:U144" si="18">RANK(V81,$V$17:$V$190)</f>
        <v>16</v>
      </c>
      <c r="V81" s="46">
        <f t="shared" si="15"/>
        <v>0</v>
      </c>
      <c r="W81" s="46">
        <f t="shared" si="16"/>
        <v>0</v>
      </c>
      <c r="X81" s="46">
        <f t="shared" si="17"/>
        <v>0</v>
      </c>
      <c r="Y81" s="46">
        <v>65</v>
      </c>
      <c r="Z81" s="762" t="str">
        <f>IFERROR(IF(AL84&lt;$AJ$84,"Commercial ProForma - Amount has not been provided in year 2 for all 'Other Income' listed."," ")," ")</f>
        <v xml:space="preserve"> </v>
      </c>
      <c r="AA81" s="82">
        <v>65</v>
      </c>
      <c r="AS81" s="82">
        <f>SUM(AS78:AS80)</f>
        <v>0</v>
      </c>
    </row>
    <row r="82" spans="2:56" s="82" customFormat="1" ht="14.25" customHeight="1">
      <c r="B82" s="2406" t="str">
        <f t="shared" si="13"/>
        <v xml:space="preserve"> </v>
      </c>
      <c r="C82" s="2406"/>
      <c r="D82" s="2406"/>
      <c r="E82" s="2406"/>
      <c r="F82" s="2406"/>
      <c r="G82" s="2406"/>
      <c r="H82" s="2406"/>
      <c r="I82" s="2406"/>
      <c r="J82" s="2406"/>
      <c r="K82" s="2406"/>
      <c r="L82" s="2406"/>
      <c r="M82" s="2406"/>
      <c r="O82" s="82">
        <f t="shared" ref="O82:O96" si="19">IF(B82=" ",0,1)</f>
        <v>0</v>
      </c>
      <c r="S82" s="46"/>
      <c r="T82" s="46"/>
      <c r="U82" s="46">
        <f t="shared" si="18"/>
        <v>16</v>
      </c>
      <c r="V82" s="46">
        <f t="shared" si="15"/>
        <v>0</v>
      </c>
      <c r="W82" s="46">
        <f t="shared" si="16"/>
        <v>0</v>
      </c>
      <c r="X82" s="46">
        <f t="shared" si="17"/>
        <v>0</v>
      </c>
      <c r="Y82" s="46">
        <v>66</v>
      </c>
      <c r="Z82" s="762" t="str">
        <f>IFERROR(IF(AM84&lt;$AJ$84,"Commercial ProForma - Amount has not been provided in year 3 for all 'Other Income' listed."," ")," ")</f>
        <v xml:space="preserve"> </v>
      </c>
      <c r="AA82" s="82">
        <v>66</v>
      </c>
    </row>
    <row r="83" spans="2:56" s="82" customFormat="1" ht="14.25" customHeight="1">
      <c r="B83" s="2406" t="str">
        <f t="shared" si="13"/>
        <v xml:space="preserve"> </v>
      </c>
      <c r="C83" s="2406"/>
      <c r="D83" s="2406"/>
      <c r="E83" s="2406"/>
      <c r="F83" s="2406"/>
      <c r="G83" s="2406"/>
      <c r="H83" s="2406"/>
      <c r="I83" s="2406"/>
      <c r="J83" s="2406"/>
      <c r="K83" s="2406"/>
      <c r="L83" s="2406"/>
      <c r="M83" s="2406"/>
      <c r="O83" s="82">
        <f t="shared" si="19"/>
        <v>0</v>
      </c>
      <c r="S83" s="46"/>
      <c r="T83" s="46"/>
      <c r="U83" s="46">
        <f t="shared" si="18"/>
        <v>16</v>
      </c>
      <c r="V83" s="46">
        <f t="shared" si="15"/>
        <v>0</v>
      </c>
      <c r="W83" s="46">
        <f t="shared" si="16"/>
        <v>0</v>
      </c>
      <c r="X83" s="46">
        <f t="shared" si="17"/>
        <v>0</v>
      </c>
      <c r="Y83" s="46">
        <v>67</v>
      </c>
      <c r="Z83" s="762" t="str">
        <f>IFERROR(IF(AN84&lt;$AJ$84,"Commercial ProForma - Amount has not been provided in year 4 for all 'Other Income' listed."," ")," ")</f>
        <v xml:space="preserve"> </v>
      </c>
      <c r="AA83" s="82">
        <v>67</v>
      </c>
      <c r="AJ83" s="46" t="s">
        <v>842</v>
      </c>
      <c r="AK83" s="46" t="s">
        <v>8</v>
      </c>
      <c r="AL83" s="46" t="s">
        <v>9</v>
      </c>
      <c r="AM83" s="46" t="s">
        <v>10</v>
      </c>
      <c r="AN83" s="46" t="s">
        <v>11</v>
      </c>
      <c r="AO83" s="46" t="s">
        <v>12</v>
      </c>
      <c r="AP83" s="46" t="s">
        <v>13</v>
      </c>
      <c r="AQ83" s="82" t="s">
        <v>14</v>
      </c>
    </row>
    <row r="84" spans="2:56" s="82" customFormat="1" ht="14.25" customHeight="1">
      <c r="B84" s="2406" t="str">
        <f t="shared" si="13"/>
        <v xml:space="preserve"> </v>
      </c>
      <c r="C84" s="2406"/>
      <c r="D84" s="2406"/>
      <c r="E84" s="2406"/>
      <c r="F84" s="2406"/>
      <c r="G84" s="2406"/>
      <c r="H84" s="2406"/>
      <c r="I84" s="2406"/>
      <c r="J84" s="2406"/>
      <c r="K84" s="2406"/>
      <c r="L84" s="2406"/>
      <c r="M84" s="2406"/>
      <c r="O84" s="82">
        <f t="shared" si="19"/>
        <v>0</v>
      </c>
      <c r="S84" s="46"/>
      <c r="T84" s="46"/>
      <c r="U84" s="46">
        <f t="shared" si="18"/>
        <v>16</v>
      </c>
      <c r="V84" s="46">
        <f t="shared" si="15"/>
        <v>0</v>
      </c>
      <c r="W84" s="46">
        <f t="shared" si="16"/>
        <v>0</v>
      </c>
      <c r="X84" s="46">
        <f t="shared" si="17"/>
        <v>0</v>
      </c>
      <c r="Y84" s="46">
        <v>68</v>
      </c>
      <c r="Z84" s="762" t="str">
        <f>IFERROR(IF(AO84&lt;$AJ$84,"Commercial ProForma - Amount has not been provided in year 5 for all 'Other Income' listed."," ")," ")</f>
        <v xml:space="preserve"> </v>
      </c>
      <c r="AA84" s="82">
        <v>68</v>
      </c>
      <c r="AJ84" s="46">
        <f>COUNTIF('C(2)-Commercial ProForma'!D17:H19,"&lt;&gt;")</f>
        <v>0</v>
      </c>
      <c r="AK84" s="46">
        <f>COUNTIF('C(2)-Commercial ProForma'!K17:K19,"&lt;&gt;")</f>
        <v>0</v>
      </c>
      <c r="AL84" s="46">
        <f>COUNTIF('C(2)-Commercial ProForma'!L17:L19,"&lt;&gt;")</f>
        <v>0</v>
      </c>
      <c r="AM84" s="46">
        <f>COUNTIF('C(2)-Commercial ProForma'!M17:M19,"&lt;&gt;")</f>
        <v>0</v>
      </c>
      <c r="AN84" s="46">
        <f>COUNTIF('C(2)-Commercial ProForma'!N17:N19,"&lt;&gt;")</f>
        <v>0</v>
      </c>
      <c r="AO84" s="46">
        <f>COUNTIF('C(2)-Commercial ProForma'!O17:O19,"&lt;&gt;")</f>
        <v>0</v>
      </c>
      <c r="AP84" s="46">
        <f>COUNTIF('C(2)-Commercial ProForma'!P17:P19,"&lt;&gt;")</f>
        <v>0</v>
      </c>
      <c r="AQ84" s="46">
        <f>COUNTIF('C(2)-Commercial ProForma'!Q17:Q19,"&lt;&gt;")</f>
        <v>0</v>
      </c>
    </row>
    <row r="85" spans="2:56" s="82" customFormat="1" ht="14.25" customHeight="1">
      <c r="B85" s="2406" t="str">
        <f t="shared" si="13"/>
        <v xml:space="preserve"> </v>
      </c>
      <c r="C85" s="2406"/>
      <c r="D85" s="2406"/>
      <c r="E85" s="2406"/>
      <c r="F85" s="2406"/>
      <c r="G85" s="2406"/>
      <c r="H85" s="2406"/>
      <c r="I85" s="2406"/>
      <c r="J85" s="2406"/>
      <c r="K85" s="2406"/>
      <c r="L85" s="2406"/>
      <c r="M85" s="2406"/>
      <c r="N85" s="763"/>
      <c r="O85" s="82">
        <f t="shared" si="19"/>
        <v>0</v>
      </c>
      <c r="P85" s="763"/>
      <c r="S85" s="46"/>
      <c r="T85" s="46"/>
      <c r="U85" s="46">
        <f t="shared" si="18"/>
        <v>16</v>
      </c>
      <c r="V85" s="46">
        <f t="shared" si="15"/>
        <v>0</v>
      </c>
      <c r="W85" s="46">
        <f t="shared" si="16"/>
        <v>0</v>
      </c>
      <c r="X85" s="46">
        <f t="shared" si="17"/>
        <v>0</v>
      </c>
      <c r="Y85" s="46">
        <v>69</v>
      </c>
      <c r="Z85" s="762" t="str">
        <f>IFERROR(IF(AP84&lt;$AJ$84,"Commercial ProForma - Amount has not been provided in year 10 for all 'Other Income' listed."," ")," ")</f>
        <v xml:space="preserve"> </v>
      </c>
      <c r="AA85" s="82">
        <v>69</v>
      </c>
    </row>
    <row r="86" spans="2:56" s="82" customFormat="1" ht="14.25" customHeight="1">
      <c r="B86" s="2406" t="str">
        <f t="shared" si="13"/>
        <v xml:space="preserve"> </v>
      </c>
      <c r="C86" s="2406"/>
      <c r="D86" s="2406"/>
      <c r="E86" s="2406"/>
      <c r="F86" s="2406"/>
      <c r="G86" s="2406"/>
      <c r="H86" s="2406"/>
      <c r="I86" s="2406"/>
      <c r="J86" s="2406"/>
      <c r="K86" s="2406"/>
      <c r="L86" s="2406"/>
      <c r="M86" s="2406"/>
      <c r="O86" s="82">
        <f t="shared" si="19"/>
        <v>0</v>
      </c>
      <c r="S86" s="46"/>
      <c r="T86" s="46"/>
      <c r="U86" s="46">
        <f t="shared" si="18"/>
        <v>16</v>
      </c>
      <c r="V86" s="46">
        <f t="shared" si="15"/>
        <v>0</v>
      </c>
      <c r="W86" s="46">
        <f t="shared" si="16"/>
        <v>0</v>
      </c>
      <c r="X86" s="46">
        <f t="shared" si="17"/>
        <v>0</v>
      </c>
      <c r="Y86" s="46">
        <v>70</v>
      </c>
      <c r="Z86" s="762" t="str">
        <f>IFERROR(IF(AQ84&lt;$AJ$84,"Commercial ProForma - Amount has not been provided in year 15 for all 'Other Income' listed."," ")," ")</f>
        <v xml:space="preserve"> </v>
      </c>
      <c r="AA86" s="82">
        <v>70</v>
      </c>
      <c r="AE86" s="82" t="s">
        <v>951</v>
      </c>
      <c r="AF86" s="82" t="s">
        <v>952</v>
      </c>
      <c r="AJ86" s="46" t="s">
        <v>843</v>
      </c>
    </row>
    <row r="87" spans="2:56" s="82" customFormat="1" ht="14.25" customHeight="1">
      <c r="B87" s="2406" t="str">
        <f t="shared" si="13"/>
        <v xml:space="preserve"> </v>
      </c>
      <c r="C87" s="2406"/>
      <c r="D87" s="2406"/>
      <c r="E87" s="2406"/>
      <c r="F87" s="2406"/>
      <c r="G87" s="2406"/>
      <c r="H87" s="2406"/>
      <c r="I87" s="2406"/>
      <c r="J87" s="2406"/>
      <c r="K87" s="2406"/>
      <c r="L87" s="2406"/>
      <c r="M87" s="2406"/>
      <c r="O87" s="82">
        <f t="shared" si="19"/>
        <v>0</v>
      </c>
      <c r="S87" s="46"/>
      <c r="T87" s="46"/>
      <c r="U87" s="46">
        <f t="shared" si="18"/>
        <v>16</v>
      </c>
      <c r="V87" s="46">
        <f t="shared" si="15"/>
        <v>0</v>
      </c>
      <c r="W87" s="46">
        <f t="shared" si="16"/>
        <v>0</v>
      </c>
      <c r="X87" s="46">
        <f t="shared" si="17"/>
        <v>0</v>
      </c>
      <c r="Y87" s="46">
        <v>71</v>
      </c>
      <c r="Z87" s="762" t="str">
        <f>IFERROR(IF(AND(AC76="Yes",'C(2)-Commercial ProForma'!H22=""),"Commercial ProForma - A vacancy rate has not been indicated."," ")," ")</f>
        <v xml:space="preserve"> </v>
      </c>
      <c r="AA87" s="82">
        <v>71</v>
      </c>
      <c r="AE87" s="82">
        <f>'C(2)-Commercial ProForma'!$AA$58</f>
        <v>0</v>
      </c>
      <c r="AF87" s="82">
        <f>'C(2)-Commercial ProForma'!$AE$58</f>
        <v>0</v>
      </c>
      <c r="AJ87" s="46">
        <f>COUNTIF('C(2)-Commercial ProForma'!D17:H17,"&lt;&gt;")</f>
        <v>0</v>
      </c>
      <c r="AK87" s="46">
        <f>COUNTIF('C(2)-Commercial ProForma'!K17,"&gt;0")</f>
        <v>0</v>
      </c>
      <c r="AL87" s="46">
        <f>COUNTIF('C(2)-Commercial ProForma'!L17,"&gt;0")</f>
        <v>0</v>
      </c>
      <c r="AM87" s="46">
        <f>COUNTIF('C(2)-Commercial ProForma'!M17,"&gt;0")</f>
        <v>0</v>
      </c>
      <c r="AN87" s="46">
        <f>COUNTIF('C(2)-Commercial ProForma'!N17,"&gt;0")</f>
        <v>0</v>
      </c>
      <c r="AO87" s="46">
        <f>COUNTIF('C(2)-Commercial ProForma'!O17,"&gt;0")</f>
        <v>0</v>
      </c>
      <c r="AP87" s="46">
        <f>COUNTIF('C(2)-Commercial ProForma'!P17,"&gt;0")</f>
        <v>0</v>
      </c>
      <c r="AQ87" s="46">
        <f>COUNTIF('C(2)-Commercial ProForma'!Q17,"&gt;0")</f>
        <v>0</v>
      </c>
      <c r="AR87" s="82">
        <f>COUNTIF(AK87:AQ87,"&gt;0")</f>
        <v>0</v>
      </c>
      <c r="AS87" s="82">
        <f>IF(AND(AJ87=0,AR87&gt;0),1,0)</f>
        <v>0</v>
      </c>
    </row>
    <row r="88" spans="2:56" s="82" customFormat="1" ht="14.25" customHeight="1">
      <c r="B88" s="2406" t="str">
        <f t="shared" si="13"/>
        <v xml:space="preserve"> </v>
      </c>
      <c r="C88" s="2406"/>
      <c r="D88" s="2406"/>
      <c r="E88" s="2406"/>
      <c r="F88" s="2406"/>
      <c r="G88" s="2406"/>
      <c r="H88" s="2406"/>
      <c r="I88" s="2406"/>
      <c r="J88" s="2406"/>
      <c r="K88" s="2406"/>
      <c r="L88" s="2406"/>
      <c r="M88" s="2406"/>
      <c r="O88" s="82">
        <f t="shared" si="19"/>
        <v>0</v>
      </c>
      <c r="S88" s="46"/>
      <c r="T88" s="46"/>
      <c r="U88" s="46">
        <f t="shared" si="18"/>
        <v>16</v>
      </c>
      <c r="V88" s="46">
        <f t="shared" si="15"/>
        <v>0</v>
      </c>
      <c r="W88" s="46">
        <f t="shared" si="16"/>
        <v>0</v>
      </c>
      <c r="X88" s="46">
        <f t="shared" si="17"/>
        <v>0</v>
      </c>
      <c r="Y88" s="46">
        <v>72</v>
      </c>
      <c r="Z88" s="762" t="str">
        <f>IFERROR(IF(AS90&gt;0,"Commercial ProForma - An 'Other Income' amount was indicated but no description was provided."," ")," ")</f>
        <v xml:space="preserve"> </v>
      </c>
      <c r="AA88" s="82">
        <v>72</v>
      </c>
      <c r="AJ88" s="46">
        <f>COUNTIF('C(2)-Commercial ProForma'!D18:H18,"&lt;&gt;")</f>
        <v>0</v>
      </c>
      <c r="AK88" s="46">
        <f>COUNTIF('C(2)-Commercial ProForma'!K18,"&gt;0")</f>
        <v>0</v>
      </c>
      <c r="AL88" s="46">
        <f>COUNTIF('C(2)-Commercial ProForma'!L18,"&gt;0")</f>
        <v>0</v>
      </c>
      <c r="AM88" s="46">
        <f>COUNTIF('C(2)-Commercial ProForma'!M18,"&gt;0")</f>
        <v>0</v>
      </c>
      <c r="AN88" s="46">
        <f>COUNTIF('C(2)-Commercial ProForma'!N18,"&gt;0")</f>
        <v>0</v>
      </c>
      <c r="AO88" s="46">
        <f>COUNTIF('C(2)-Commercial ProForma'!O18,"&gt;0")</f>
        <v>0</v>
      </c>
      <c r="AP88" s="46">
        <f>COUNTIF('C(2)-Commercial ProForma'!P18,"&gt;0")</f>
        <v>0</v>
      </c>
      <c r="AQ88" s="46">
        <f>COUNTIF('C(2)-Commercial ProForma'!Q18,"&gt;0")</f>
        <v>0</v>
      </c>
      <c r="AR88" s="82">
        <f>COUNTIF(AK88:AQ88,"&gt;0")</f>
        <v>0</v>
      </c>
      <c r="AS88" s="82">
        <f>IF(AND(AJ88=0,AR88&gt;0),1,0)</f>
        <v>0</v>
      </c>
    </row>
    <row r="89" spans="2:56" s="82" customFormat="1" ht="14.25" customHeight="1">
      <c r="B89" s="2406" t="str">
        <f t="shared" si="13"/>
        <v xml:space="preserve"> </v>
      </c>
      <c r="C89" s="2406"/>
      <c r="D89" s="2406"/>
      <c r="E89" s="2406"/>
      <c r="F89" s="2406"/>
      <c r="G89" s="2406"/>
      <c r="H89" s="2406"/>
      <c r="I89" s="2406"/>
      <c r="J89" s="2406"/>
      <c r="K89" s="2406"/>
      <c r="L89" s="2406"/>
      <c r="M89" s="2406"/>
      <c r="O89" s="82">
        <f t="shared" si="19"/>
        <v>0</v>
      </c>
      <c r="S89" s="46"/>
      <c r="T89" s="46"/>
      <c r="U89" s="46">
        <f t="shared" si="18"/>
        <v>16</v>
      </c>
      <c r="V89" s="46">
        <f t="shared" si="15"/>
        <v>0</v>
      </c>
      <c r="W89" s="46">
        <f t="shared" si="16"/>
        <v>0</v>
      </c>
      <c r="X89" s="46">
        <f t="shared" si="17"/>
        <v>0</v>
      </c>
      <c r="Y89" s="46">
        <v>73</v>
      </c>
      <c r="Z89" s="762" t="str">
        <f>IFERROR(IF(AK92&lt;$AJ$92,"Commercial ProForma - Amount has not been provided in year 1 for all 'Other Expenses' listed."," ")," ")</f>
        <v xml:space="preserve"> </v>
      </c>
      <c r="AA89" s="82">
        <v>73</v>
      </c>
      <c r="AJ89" s="46">
        <f>COUNTIF('C(2)-Commercial ProForma'!D19:H19,"&lt;&gt;")</f>
        <v>0</v>
      </c>
      <c r="AK89" s="46">
        <f>COUNTIF('C(2)-Commercial ProForma'!K19,"&gt;0")</f>
        <v>0</v>
      </c>
      <c r="AL89" s="46">
        <f>COUNTIF('C(2)-Commercial ProForma'!L19,"&gt;0")</f>
        <v>0</v>
      </c>
      <c r="AM89" s="46">
        <f>COUNTIF('C(2)-Commercial ProForma'!M19,"&gt;0")</f>
        <v>0</v>
      </c>
      <c r="AN89" s="46">
        <f>COUNTIF('C(2)-Commercial ProForma'!N19,"&gt;0")</f>
        <v>0</v>
      </c>
      <c r="AO89" s="46">
        <f>COUNTIF('C(2)-Commercial ProForma'!O19,"&gt;0")</f>
        <v>0</v>
      </c>
      <c r="AP89" s="46">
        <f>COUNTIF('C(2)-Commercial ProForma'!P19,"&gt;0")</f>
        <v>0</v>
      </c>
      <c r="AQ89" s="46">
        <f>COUNTIF('C(2)-Commercial ProForma'!Q19,"&gt;0")</f>
        <v>0</v>
      </c>
      <c r="AR89" s="82">
        <f>COUNTIF(AK89:AQ89,"&gt;0")</f>
        <v>0</v>
      </c>
      <c r="AS89" s="82">
        <f>IF(AND(AJ89=0,AR89&gt;0),1,0)</f>
        <v>0</v>
      </c>
    </row>
    <row r="90" spans="2:56" s="82" customFormat="1" ht="14.25" customHeight="1">
      <c r="B90" s="2406" t="str">
        <f t="shared" si="13"/>
        <v xml:space="preserve"> </v>
      </c>
      <c r="C90" s="2406"/>
      <c r="D90" s="2406"/>
      <c r="E90" s="2406"/>
      <c r="F90" s="2406"/>
      <c r="G90" s="2406"/>
      <c r="H90" s="2406"/>
      <c r="I90" s="2406"/>
      <c r="J90" s="2406"/>
      <c r="K90" s="2406"/>
      <c r="L90" s="2406"/>
      <c r="M90" s="2406"/>
      <c r="O90" s="82">
        <f t="shared" si="19"/>
        <v>0</v>
      </c>
      <c r="S90" s="46"/>
      <c r="T90" s="46"/>
      <c r="U90" s="46">
        <f t="shared" si="18"/>
        <v>16</v>
      </c>
      <c r="V90" s="46">
        <f t="shared" si="15"/>
        <v>0</v>
      </c>
      <c r="W90" s="46">
        <f t="shared" si="16"/>
        <v>0</v>
      </c>
      <c r="X90" s="46">
        <f t="shared" si="17"/>
        <v>0</v>
      </c>
      <c r="Y90" s="46">
        <v>74</v>
      </c>
      <c r="Z90" s="762" t="str">
        <f>IFERROR(IF(AL92&lt;$AJ$92,"Commercial ProForma - Amount has not been provided in year 2 for all 'Other Expenses' listed."," ")," ")</f>
        <v xml:space="preserve"> </v>
      </c>
      <c r="AA90" s="82">
        <v>74</v>
      </c>
      <c r="AS90" s="82">
        <f>SUM(AS87:AS89)</f>
        <v>0</v>
      </c>
    </row>
    <row r="91" spans="2:56" s="82" customFormat="1" ht="14.25" customHeight="1">
      <c r="B91" s="2406" t="str">
        <f t="shared" si="13"/>
        <v xml:space="preserve"> </v>
      </c>
      <c r="C91" s="2406"/>
      <c r="D91" s="2406"/>
      <c r="E91" s="2406"/>
      <c r="F91" s="2406"/>
      <c r="G91" s="2406"/>
      <c r="H91" s="2406"/>
      <c r="I91" s="2406"/>
      <c r="J91" s="2406"/>
      <c r="K91" s="2406"/>
      <c r="L91" s="2406"/>
      <c r="M91" s="2406"/>
      <c r="O91" s="82">
        <f t="shared" si="19"/>
        <v>0</v>
      </c>
      <c r="S91" s="46"/>
      <c r="T91" s="46"/>
      <c r="U91" s="46">
        <f t="shared" si="18"/>
        <v>16</v>
      </c>
      <c r="V91" s="46">
        <f t="shared" si="15"/>
        <v>0</v>
      </c>
      <c r="W91" s="46">
        <f t="shared" si="16"/>
        <v>0</v>
      </c>
      <c r="X91" s="46">
        <f t="shared" si="17"/>
        <v>0</v>
      </c>
      <c r="Y91" s="46">
        <v>75</v>
      </c>
      <c r="Z91" s="762" t="str">
        <f>IFERROR(IF(AM92&lt;$AJ$92,"Commercial ProForma - Amount has not been provided in year 3 for all 'Other Expenses' listed."," ")," ")</f>
        <v xml:space="preserve"> </v>
      </c>
      <c r="AA91" s="82">
        <v>75</v>
      </c>
      <c r="AJ91" s="46" t="s">
        <v>844</v>
      </c>
      <c r="AK91" s="46" t="s">
        <v>8</v>
      </c>
      <c r="AL91" s="46" t="s">
        <v>9</v>
      </c>
      <c r="AM91" s="46" t="s">
        <v>10</v>
      </c>
      <c r="AN91" s="46" t="s">
        <v>11</v>
      </c>
      <c r="AO91" s="46" t="s">
        <v>12</v>
      </c>
      <c r="AP91" s="46" t="s">
        <v>13</v>
      </c>
      <c r="AQ91" s="82" t="s">
        <v>14</v>
      </c>
    </row>
    <row r="92" spans="2:56" s="82" customFormat="1" ht="14.25" customHeight="1">
      <c r="B92" s="2406" t="str">
        <f t="shared" si="13"/>
        <v xml:space="preserve"> </v>
      </c>
      <c r="C92" s="2406"/>
      <c r="D92" s="2406"/>
      <c r="E92" s="2406"/>
      <c r="F92" s="2406"/>
      <c r="G92" s="2406"/>
      <c r="H92" s="2406"/>
      <c r="I92" s="2406"/>
      <c r="J92" s="2406"/>
      <c r="K92" s="2406"/>
      <c r="L92" s="2406"/>
      <c r="M92" s="2406"/>
      <c r="O92" s="82">
        <f t="shared" si="19"/>
        <v>0</v>
      </c>
      <c r="S92" s="46"/>
      <c r="T92" s="46"/>
      <c r="U92" s="46">
        <f t="shared" si="18"/>
        <v>16</v>
      </c>
      <c r="V92" s="46">
        <f t="shared" si="15"/>
        <v>0</v>
      </c>
      <c r="W92" s="46">
        <f t="shared" si="16"/>
        <v>0</v>
      </c>
      <c r="X92" s="46">
        <f t="shared" si="17"/>
        <v>0</v>
      </c>
      <c r="Y92" s="46">
        <v>76</v>
      </c>
      <c r="Z92" s="762" t="str">
        <f>IFERROR(IF(AN92&lt;$AJ$92,"Commercial ProForma - Amount has not been provided in year 4 for all 'Other Expenses' listed."," ")," ")</f>
        <v xml:space="preserve"> </v>
      </c>
      <c r="AA92" s="82">
        <v>76</v>
      </c>
      <c r="AJ92" s="46">
        <f>COUNTIF('C(2)-Commercial ProForma'!D39:H41,"&lt;&gt;")</f>
        <v>0</v>
      </c>
      <c r="AK92" s="46">
        <f>COUNTIF('C(2)-Commercial ProForma'!K39:K41,"&lt;&gt;")</f>
        <v>0</v>
      </c>
      <c r="AL92" s="46">
        <f>COUNTIF('C(2)-Commercial ProForma'!L39:L41,"&lt;&gt;")</f>
        <v>0</v>
      </c>
      <c r="AM92" s="46">
        <f>COUNTIF('C(2)-Commercial ProForma'!M39:M41,"&lt;&gt;")</f>
        <v>0</v>
      </c>
      <c r="AN92" s="46">
        <f>COUNTIF('C(2)-Commercial ProForma'!N39:N41,"&lt;&gt;")</f>
        <v>0</v>
      </c>
      <c r="AO92" s="46">
        <f>COUNTIF('C(2)-Commercial ProForma'!O39:O41,"&lt;&gt;")</f>
        <v>0</v>
      </c>
      <c r="AP92" s="46">
        <f>COUNTIF('C(2)-Commercial ProForma'!P39:P41,"&lt;&gt;")</f>
        <v>0</v>
      </c>
      <c r="AQ92" s="46">
        <f>COUNTIF('C(2)-Commercial ProForma'!Q39:Q41,"&lt;&gt;")</f>
        <v>0</v>
      </c>
    </row>
    <row r="93" spans="2:56" s="82" customFormat="1" ht="14.25" customHeight="1">
      <c r="B93" s="2406" t="str">
        <f t="shared" si="13"/>
        <v xml:space="preserve"> </v>
      </c>
      <c r="C93" s="2406"/>
      <c r="D93" s="2406"/>
      <c r="E93" s="2406"/>
      <c r="F93" s="2406"/>
      <c r="G93" s="2406"/>
      <c r="H93" s="2406"/>
      <c r="I93" s="2406"/>
      <c r="J93" s="2406"/>
      <c r="K93" s="2406"/>
      <c r="L93" s="2406"/>
      <c r="M93" s="2406"/>
      <c r="O93" s="82">
        <f t="shared" si="19"/>
        <v>0</v>
      </c>
      <c r="S93" s="46"/>
      <c r="T93" s="46"/>
      <c r="U93" s="46">
        <f t="shared" si="18"/>
        <v>16</v>
      </c>
      <c r="V93" s="46">
        <f t="shared" si="15"/>
        <v>0</v>
      </c>
      <c r="W93" s="46">
        <f t="shared" si="16"/>
        <v>0</v>
      </c>
      <c r="X93" s="46">
        <f t="shared" si="17"/>
        <v>0</v>
      </c>
      <c r="Y93" s="46">
        <v>77</v>
      </c>
      <c r="Z93" s="762" t="str">
        <f>IFERROR(IF(AO92&lt;$AJ$92,"Commercial ProForma - Amount has not been provided in year 5 for all 'Other Expenses' listed."," ")," ")</f>
        <v xml:space="preserve"> </v>
      </c>
      <c r="AA93" s="82">
        <v>77</v>
      </c>
      <c r="BD93" s="82">
        <f>COUNTIF(B102:B128,"&lt;&gt;"&amp;" ")</f>
        <v>0</v>
      </c>
    </row>
    <row r="94" spans="2:56" s="82" customFormat="1" ht="14.25" customHeight="1">
      <c r="B94" s="2406" t="str">
        <f t="shared" si="13"/>
        <v xml:space="preserve"> </v>
      </c>
      <c r="C94" s="2406"/>
      <c r="D94" s="2406"/>
      <c r="E94" s="2406"/>
      <c r="F94" s="2406"/>
      <c r="G94" s="2406"/>
      <c r="H94" s="2406"/>
      <c r="I94" s="2406"/>
      <c r="J94" s="2406"/>
      <c r="K94" s="2406"/>
      <c r="L94" s="2406"/>
      <c r="M94" s="2406"/>
      <c r="O94" s="82">
        <f t="shared" si="19"/>
        <v>0</v>
      </c>
      <c r="S94" s="46"/>
      <c r="T94" s="46"/>
      <c r="U94" s="46">
        <f t="shared" si="18"/>
        <v>16</v>
      </c>
      <c r="V94" s="46">
        <f t="shared" si="15"/>
        <v>0</v>
      </c>
      <c r="W94" s="46">
        <f t="shared" si="16"/>
        <v>0</v>
      </c>
      <c r="X94" s="46">
        <f t="shared" si="17"/>
        <v>0</v>
      </c>
      <c r="Y94" s="46">
        <v>78</v>
      </c>
      <c r="Z94" s="762" t="str">
        <f>IFERROR(IF(AP92&lt;$AJ$92,"Commercial ProForma - Amount has not been provided in year 10 for all 'Other Expenses' listed."," ")," ")</f>
        <v xml:space="preserve"> </v>
      </c>
      <c r="AA94" s="82">
        <v>78</v>
      </c>
      <c r="AJ94" s="46" t="s">
        <v>845</v>
      </c>
    </row>
    <row r="95" spans="2:56" s="82" customFormat="1" ht="14.25" customHeight="1">
      <c r="B95" s="2406" t="str">
        <f t="shared" si="13"/>
        <v xml:space="preserve"> </v>
      </c>
      <c r="C95" s="2406"/>
      <c r="D95" s="2406"/>
      <c r="E95" s="2406"/>
      <c r="F95" s="2406"/>
      <c r="G95" s="2406"/>
      <c r="H95" s="2406"/>
      <c r="I95" s="2406"/>
      <c r="J95" s="2406"/>
      <c r="K95" s="2406"/>
      <c r="L95" s="2406"/>
      <c r="M95" s="2406"/>
      <c r="O95" s="82">
        <f t="shared" si="19"/>
        <v>0</v>
      </c>
      <c r="S95" s="46"/>
      <c r="T95" s="46"/>
      <c r="U95" s="46">
        <f t="shared" si="18"/>
        <v>16</v>
      </c>
      <c r="V95" s="46">
        <f t="shared" si="15"/>
        <v>0</v>
      </c>
      <c r="W95" s="46">
        <f t="shared" si="16"/>
        <v>0</v>
      </c>
      <c r="X95" s="46">
        <f t="shared" si="17"/>
        <v>0</v>
      </c>
      <c r="Y95" s="46">
        <v>79</v>
      </c>
      <c r="Z95" s="762" t="str">
        <f>IFERROR(IF(AQ92&lt;$AJ$92,"Commercial ProForma - Amount has not been provided in year 15 for all 'Other Expenses' listed."," ")," ")</f>
        <v xml:space="preserve"> </v>
      </c>
      <c r="AA95" s="82">
        <v>79</v>
      </c>
      <c r="AJ95" s="46">
        <f>COUNTIF('C(2)-Commercial ProForma'!D39:H39,"&lt;&gt;")</f>
        <v>0</v>
      </c>
      <c r="AK95" s="46">
        <f>COUNTIF('C(2)-Commercial ProForma'!K39,"&gt;0")</f>
        <v>0</v>
      </c>
      <c r="AL95" s="46">
        <f>COUNTIF('C(2)-Commercial ProForma'!L39,"&gt;0")</f>
        <v>0</v>
      </c>
      <c r="AM95" s="46">
        <f>COUNTIF('C(2)-Commercial ProForma'!M39,"&gt;0")</f>
        <v>0</v>
      </c>
      <c r="AN95" s="46">
        <f>COUNTIF('C(2)-Commercial ProForma'!N39,"&gt;0")</f>
        <v>0</v>
      </c>
      <c r="AO95" s="46">
        <f>COUNTIF('C(2)-Commercial ProForma'!O39,"&gt;0")</f>
        <v>0</v>
      </c>
      <c r="AP95" s="46">
        <f>COUNTIF('C(2)-Commercial ProForma'!P39,"&gt;0")</f>
        <v>0</v>
      </c>
      <c r="AQ95" s="46">
        <f>COUNTIF('C(2)-Commercial ProForma'!Q39,"&gt;0")</f>
        <v>0</v>
      </c>
      <c r="AR95" s="82">
        <f>COUNTIF(AK95:AQ95,"&gt;0")</f>
        <v>0</v>
      </c>
      <c r="AS95" s="82">
        <f>IF(AND(AJ95=0,AR95&gt;0),1,0)</f>
        <v>0</v>
      </c>
    </row>
    <row r="96" spans="2:56" s="82" customFormat="1" ht="14.25" customHeight="1">
      <c r="B96" s="2406" t="str">
        <f t="shared" si="13"/>
        <v xml:space="preserve"> </v>
      </c>
      <c r="C96" s="2406"/>
      <c r="D96" s="2406"/>
      <c r="E96" s="2406"/>
      <c r="F96" s="2406"/>
      <c r="G96" s="2406"/>
      <c r="H96" s="2406"/>
      <c r="I96" s="2406"/>
      <c r="J96" s="2406"/>
      <c r="K96" s="2406"/>
      <c r="L96" s="2406"/>
      <c r="M96" s="2406"/>
      <c r="O96" s="82">
        <f t="shared" si="19"/>
        <v>0</v>
      </c>
      <c r="S96" s="46"/>
      <c r="T96" s="46"/>
      <c r="U96" s="46">
        <f t="shared" si="18"/>
        <v>16</v>
      </c>
      <c r="V96" s="46">
        <f t="shared" si="15"/>
        <v>0</v>
      </c>
      <c r="W96" s="46">
        <f t="shared" si="16"/>
        <v>0</v>
      </c>
      <c r="X96" s="46">
        <f t="shared" si="17"/>
        <v>0</v>
      </c>
      <c r="Y96" s="46">
        <v>80</v>
      </c>
      <c r="Z96" s="762" t="str">
        <f>IFERROR(IF(AND(AE66="Rental",AE87&gt;0),"Commercial ProForma - The debt service for all 'Other' permanent loans was not provided for all years (input $0 if no debt service in a particular year)."," ")," ")</f>
        <v xml:space="preserve"> </v>
      </c>
      <c r="AA96" s="82">
        <v>80</v>
      </c>
      <c r="AB96" s="82">
        <f>IF(AC96="Input the Number of Units Reserved for Special Needs:",1,0)</f>
        <v>1</v>
      </c>
      <c r="AC96" s="82" t="str">
        <f>'D-Owner-Occ Housing Expense'!$B$23</f>
        <v>Input the Number of Units Reserved for Special Needs:</v>
      </c>
      <c r="AJ96" s="46">
        <f>COUNTIF('C(2)-Commercial ProForma'!D40:H40,"&lt;&gt;")</f>
        <v>0</v>
      </c>
      <c r="AK96" s="46">
        <f>COUNTIF('C(2)-Commercial ProForma'!K40,"&gt;0")</f>
        <v>0</v>
      </c>
      <c r="AL96" s="46">
        <f>COUNTIF('C(2)-Commercial ProForma'!L40,"&gt;0")</f>
        <v>0</v>
      </c>
      <c r="AM96" s="46">
        <f>COUNTIF('C(2)-Commercial ProForma'!M40,"&gt;0")</f>
        <v>0</v>
      </c>
      <c r="AN96" s="46">
        <f>COUNTIF('C(2)-Commercial ProForma'!N40,"&gt;0")</f>
        <v>0</v>
      </c>
      <c r="AO96" s="46">
        <f>COUNTIF('C(2)-Commercial ProForma'!O40,"&gt;0")</f>
        <v>0</v>
      </c>
      <c r="AP96" s="46">
        <f>COUNTIF('C(2)-Commercial ProForma'!P40,"&gt;0")</f>
        <v>0</v>
      </c>
      <c r="AQ96" s="46">
        <f>COUNTIF('C(2)-Commercial ProForma'!Q40,"&gt;0")</f>
        <v>0</v>
      </c>
      <c r="AR96" s="82">
        <f>COUNTIF(AK96:AQ96,"&gt;0")</f>
        <v>0</v>
      </c>
      <c r="AS96" s="82">
        <f>IF(AND(AJ96=0,AR96&gt;0),1,0)</f>
        <v>0</v>
      </c>
    </row>
    <row r="97" spans="2:46" s="82" customFormat="1" ht="14.25" customHeight="1">
      <c r="B97" s="2406" t="str">
        <f t="shared" si="13"/>
        <v xml:space="preserve"> </v>
      </c>
      <c r="C97" s="2406"/>
      <c r="D97" s="2406"/>
      <c r="E97" s="2406"/>
      <c r="F97" s="2406"/>
      <c r="G97" s="2406"/>
      <c r="H97" s="2406"/>
      <c r="I97" s="2406"/>
      <c r="J97" s="2406"/>
      <c r="K97" s="2406"/>
      <c r="L97" s="2406"/>
      <c r="M97" s="2406"/>
      <c r="O97" s="82">
        <f>IF(B97=" ",0,1)</f>
        <v>0</v>
      </c>
      <c r="S97" s="46"/>
      <c r="T97" s="46"/>
      <c r="U97" s="46">
        <f t="shared" si="18"/>
        <v>16</v>
      </c>
      <c r="V97" s="46">
        <f t="shared" si="15"/>
        <v>0</v>
      </c>
      <c r="W97" s="46">
        <f t="shared" si="16"/>
        <v>0</v>
      </c>
      <c r="X97" s="46">
        <f t="shared" si="17"/>
        <v>0</v>
      </c>
      <c r="Y97" s="46">
        <v>81</v>
      </c>
      <c r="Z97" s="762" t="str">
        <f>IFERROR(IF(AND(AE66="Rental",AF87&gt;0),"Commercial ProForma - The debt service for all 'Cash Flow' permanent loans was not provided for all years (input $0 if no debt service in a particular year)."," ")," ")</f>
        <v xml:space="preserve"> </v>
      </c>
      <c r="AA97" s="82">
        <v>81</v>
      </c>
      <c r="AB97" s="82">
        <f>IF(AC97="Input the Number of Units Reserved for Homeless:",1,0)</f>
        <v>1</v>
      </c>
      <c r="AC97" s="82" t="str">
        <f>'D-Owner-Occ Housing Expense'!$J$23</f>
        <v>Input the Number of Units Reserved for Homeless:</v>
      </c>
      <c r="AJ97" s="46">
        <f>COUNTIF('C(2)-Commercial ProForma'!D41:H41,"&lt;&gt;")</f>
        <v>0</v>
      </c>
      <c r="AK97" s="46">
        <f>COUNTIF('C(2)-Commercial ProForma'!K41,"&gt;0")</f>
        <v>0</v>
      </c>
      <c r="AL97" s="46">
        <f>COUNTIF('C(2)-Commercial ProForma'!L41,"&gt;0")</f>
        <v>0</v>
      </c>
      <c r="AM97" s="46">
        <f>COUNTIF('C(2)-Commercial ProForma'!M41,"&gt;0")</f>
        <v>0</v>
      </c>
      <c r="AN97" s="46">
        <f>COUNTIF('C(2)-Commercial ProForma'!N41,"&gt;0")</f>
        <v>0</v>
      </c>
      <c r="AO97" s="46">
        <f>COUNTIF('C(2)-Commercial ProForma'!O41,"&gt;0")</f>
        <v>0</v>
      </c>
      <c r="AP97" s="46">
        <f>COUNTIF('C(2)-Commercial ProForma'!P41,"&gt;0")</f>
        <v>0</v>
      </c>
      <c r="AQ97" s="46">
        <f>COUNTIF('C(2)-Commercial ProForma'!Q41,"&gt;0")</f>
        <v>0</v>
      </c>
      <c r="AR97" s="82">
        <f>COUNTIF(AK97:AQ97,"&gt;0")</f>
        <v>0</v>
      </c>
      <c r="AS97" s="82">
        <f>IF(AND(AJ97=0,AR97&gt;0),1,0)</f>
        <v>0</v>
      </c>
    </row>
    <row r="98" spans="2:46" s="82" customFormat="1" ht="14.25" customHeight="1">
      <c r="B98" s="2406" t="str">
        <f t="shared" si="13"/>
        <v xml:space="preserve"> </v>
      </c>
      <c r="C98" s="2406"/>
      <c r="D98" s="2406"/>
      <c r="E98" s="2406"/>
      <c r="F98" s="2406"/>
      <c r="G98" s="2406"/>
      <c r="H98" s="2406"/>
      <c r="I98" s="2406"/>
      <c r="J98" s="2406"/>
      <c r="K98" s="2406"/>
      <c r="L98" s="2406"/>
      <c r="M98" s="2406"/>
      <c r="O98" s="82">
        <f t="shared" ref="O98:O161" si="20">IF(B98=" ",0,1)</f>
        <v>0</v>
      </c>
      <c r="S98" s="46"/>
      <c r="T98" s="46"/>
      <c r="U98" s="46">
        <f t="shared" si="18"/>
        <v>16</v>
      </c>
      <c r="V98" s="46">
        <f t="shared" si="15"/>
        <v>0</v>
      </c>
      <c r="W98" s="46">
        <f t="shared" si="16"/>
        <v>0</v>
      </c>
      <c r="X98" s="46">
        <f t="shared" si="17"/>
        <v>0</v>
      </c>
      <c r="Y98" s="46">
        <v>82</v>
      </c>
      <c r="Z98" s="762" t="str">
        <f>IFERROR(IF(AS98&gt;0,"Commercial ProForma - An 'Other Expense' amount was indicated but no description was provided."," ")," ")</f>
        <v xml:space="preserve"> </v>
      </c>
      <c r="AA98" s="82">
        <v>82</v>
      </c>
      <c r="AC98" s="776" t="str">
        <f>'Project Info and Instructions'!$F$20</f>
        <v>Rental</v>
      </c>
      <c r="AS98" s="82">
        <f>SUM(AS95:AS97)</f>
        <v>0</v>
      </c>
    </row>
    <row r="99" spans="2:46" s="82" customFormat="1" ht="14.25" customHeight="1">
      <c r="B99" s="2406" t="str">
        <f t="shared" si="13"/>
        <v xml:space="preserve"> </v>
      </c>
      <c r="C99" s="2406"/>
      <c r="D99" s="2406"/>
      <c r="E99" s="2406"/>
      <c r="F99" s="2406"/>
      <c r="G99" s="2406"/>
      <c r="H99" s="2406"/>
      <c r="I99" s="2406"/>
      <c r="J99" s="2406"/>
      <c r="K99" s="2406"/>
      <c r="L99" s="2406"/>
      <c r="M99" s="2406"/>
      <c r="O99" s="82">
        <f t="shared" si="20"/>
        <v>0</v>
      </c>
      <c r="S99" s="46"/>
      <c r="T99" s="46"/>
      <c r="U99" s="46">
        <f t="shared" si="18"/>
        <v>16</v>
      </c>
      <c r="V99" s="46">
        <f t="shared" si="15"/>
        <v>0</v>
      </c>
      <c r="W99" s="46">
        <f t="shared" si="16"/>
        <v>0</v>
      </c>
      <c r="X99" s="46">
        <f t="shared" si="17"/>
        <v>0</v>
      </c>
      <c r="Y99" s="46">
        <v>83</v>
      </c>
      <c r="Z99" s="762" t="str">
        <f>IFERROR(IF(AND('Project Info and Instructions'!F20="Owner-occupied",AL101&lt;AT101),"Owner-occupied Housing Expense - Number of houses has not been indicated for all listed homes."," ")," ")</f>
        <v xml:space="preserve"> </v>
      </c>
      <c r="AA99" s="82">
        <v>83</v>
      </c>
    </row>
    <row r="100" spans="2:46" s="82" customFormat="1" ht="14.25" customHeight="1">
      <c r="B100" s="2406" t="str">
        <f t="shared" si="13"/>
        <v xml:space="preserve"> </v>
      </c>
      <c r="C100" s="2406"/>
      <c r="D100" s="2406"/>
      <c r="E100" s="2406"/>
      <c r="F100" s="2406"/>
      <c r="G100" s="2406"/>
      <c r="H100" s="2406"/>
      <c r="I100" s="2406"/>
      <c r="J100" s="2406"/>
      <c r="K100" s="2406"/>
      <c r="L100" s="2406"/>
      <c r="M100" s="2406"/>
      <c r="O100" s="82">
        <f t="shared" si="20"/>
        <v>0</v>
      </c>
      <c r="S100" s="46"/>
      <c r="T100" s="46"/>
      <c r="U100" s="46">
        <f t="shared" si="18"/>
        <v>16</v>
      </c>
      <c r="V100" s="46">
        <f t="shared" si="15"/>
        <v>0</v>
      </c>
      <c r="W100" s="46">
        <f t="shared" si="16"/>
        <v>0</v>
      </c>
      <c r="X100" s="46">
        <f t="shared" si="17"/>
        <v>0</v>
      </c>
      <c r="Y100" s="46">
        <v>84</v>
      </c>
      <c r="Z100" s="762" t="str">
        <f>IFERROR(IF(AND('Project Info and Instructions'!F20="Owner-occupied",AK101&lt;$AT$101),"Owner-occupied Housing Expense - Number of bedrooms has not been indicated for all listed homes."," ")," ")</f>
        <v xml:space="preserve"> </v>
      </c>
      <c r="AA100" s="82">
        <v>84</v>
      </c>
      <c r="AJ100" s="773" t="s">
        <v>730</v>
      </c>
      <c r="AK100" s="773" t="s">
        <v>153</v>
      </c>
      <c r="AL100" s="773" t="s">
        <v>728</v>
      </c>
      <c r="AM100" s="773" t="s">
        <v>679</v>
      </c>
      <c r="AN100" s="773" t="s">
        <v>938</v>
      </c>
      <c r="AO100" s="773" t="s">
        <v>884</v>
      </c>
      <c r="AP100" s="773" t="s">
        <v>939</v>
      </c>
      <c r="AQ100" s="773" t="s">
        <v>940</v>
      </c>
      <c r="AR100" s="82" t="s">
        <v>942</v>
      </c>
    </row>
    <row r="101" spans="2:46" s="82" customFormat="1" ht="14.25" customHeight="1">
      <c r="B101" s="2406" t="str">
        <f t="shared" si="13"/>
        <v xml:space="preserve"> </v>
      </c>
      <c r="C101" s="2406"/>
      <c r="D101" s="2406"/>
      <c r="E101" s="2406"/>
      <c r="F101" s="2406"/>
      <c r="G101" s="2406"/>
      <c r="H101" s="2406"/>
      <c r="I101" s="2406"/>
      <c r="J101" s="2406"/>
      <c r="K101" s="2406"/>
      <c r="L101" s="2406"/>
      <c r="M101" s="2406"/>
      <c r="O101" s="82">
        <f t="shared" si="20"/>
        <v>0</v>
      </c>
      <c r="S101" s="46"/>
      <c r="T101" s="46"/>
      <c r="U101" s="46">
        <f t="shared" si="18"/>
        <v>16</v>
      </c>
      <c r="V101" s="46">
        <f t="shared" si="15"/>
        <v>0</v>
      </c>
      <c r="W101" s="46">
        <f t="shared" si="16"/>
        <v>0</v>
      </c>
      <c r="X101" s="46">
        <f t="shared" si="17"/>
        <v>0</v>
      </c>
      <c r="Y101" s="46">
        <v>85</v>
      </c>
      <c r="Z101" s="762" t="str">
        <f>IFERROR(IF(AND('Project Info and Instructions'!F20="Owner-occupied",AM101&lt;$AT$101),"Owner-occupied Housing Expense - Assumed Household size has not been indicated for all listed homes."," ")," ")</f>
        <v xml:space="preserve"> </v>
      </c>
      <c r="AA101" s="82">
        <v>85</v>
      </c>
      <c r="AJ101" s="46">
        <f>COUNTIF('D-Owner-Occ Housing Expense'!B27:B53,"&lt;&gt;")</f>
        <v>0</v>
      </c>
      <c r="AK101" s="46">
        <f>COUNTIF('D-Owner-Occ Housing Expense'!C27:C53,"&lt;&gt;")</f>
        <v>0</v>
      </c>
      <c r="AL101" s="46">
        <f>COUNTIF('D-Owner-Occ Housing Expense'!D27:D53,"&lt;&gt;")</f>
        <v>0</v>
      </c>
      <c r="AM101" s="46">
        <f>COUNTIF('D-Owner-Occ Housing Expense'!E27:E53,"&lt;&gt;")</f>
        <v>0</v>
      </c>
      <c r="AN101" s="46">
        <f>COUNTIF('D-Owner-Occ Housing Expense'!H27:H53,"&lt;&gt;")</f>
        <v>0</v>
      </c>
      <c r="AO101" s="46">
        <f>COUNTIF('D-Owner-Occ Housing Expense'!I27:I53,"&lt;&gt;")</f>
        <v>0</v>
      </c>
      <c r="AP101" s="46">
        <f>COUNTIF('D-Owner-Occ Housing Expense'!J27:J53,"&lt;&gt;")</f>
        <v>0</v>
      </c>
      <c r="AQ101" s="46">
        <f>COUNTIF('D-Owner-Occ Housing Expense'!K27:K53,"&lt;&gt;")</f>
        <v>0</v>
      </c>
      <c r="AR101" s="46">
        <f>COUNTIF('D-Owner-Occ Housing Expense'!M27:M53,"&lt;&gt;")</f>
        <v>0</v>
      </c>
      <c r="AT101" s="774">
        <f>MAX(AJ101:AR101)</f>
        <v>0</v>
      </c>
    </row>
    <row r="102" spans="2:46" s="82" customFormat="1" ht="14.25" customHeight="1">
      <c r="B102" s="2406" t="str">
        <f t="shared" si="13"/>
        <v xml:space="preserve"> </v>
      </c>
      <c r="C102" s="2406"/>
      <c r="D102" s="2406"/>
      <c r="E102" s="2406"/>
      <c r="F102" s="2406"/>
      <c r="G102" s="2406"/>
      <c r="H102" s="2406"/>
      <c r="I102" s="2406"/>
      <c r="J102" s="2406"/>
      <c r="K102" s="2406"/>
      <c r="L102" s="2406"/>
      <c r="M102" s="2406"/>
      <c r="O102" s="82">
        <f t="shared" si="20"/>
        <v>0</v>
      </c>
      <c r="S102" s="46"/>
      <c r="T102" s="46"/>
      <c r="U102" s="46">
        <f t="shared" si="18"/>
        <v>16</v>
      </c>
      <c r="V102" s="46">
        <f t="shared" si="15"/>
        <v>0</v>
      </c>
      <c r="W102" s="46">
        <f t="shared" si="16"/>
        <v>0</v>
      </c>
      <c r="X102" s="46">
        <f t="shared" si="17"/>
        <v>0</v>
      </c>
      <c r="Y102" s="46">
        <v>86</v>
      </c>
      <c r="Z102" s="762" t="str">
        <f>IFERROR(IF(AND('Project Info and Instructions'!F20="Owner-occupied",AJ101&lt;$AT$101),"Owner-occupied Housing Expense - Target A.M.I has not been indicated for all listed homes."," ")," ")</f>
        <v xml:space="preserve"> </v>
      </c>
      <c r="AA102" s="82">
        <v>86</v>
      </c>
    </row>
    <row r="103" spans="2:46" s="82" customFormat="1" ht="14.25" customHeight="1">
      <c r="B103" s="2406" t="str">
        <f t="shared" si="13"/>
        <v xml:space="preserve"> </v>
      </c>
      <c r="C103" s="2406"/>
      <c r="D103" s="2406"/>
      <c r="E103" s="2406"/>
      <c r="F103" s="2406"/>
      <c r="G103" s="2406"/>
      <c r="H103" s="2406"/>
      <c r="I103" s="2406"/>
      <c r="J103" s="2406"/>
      <c r="K103" s="2406"/>
      <c r="L103" s="2406"/>
      <c r="M103" s="2406"/>
      <c r="O103" s="82">
        <f t="shared" si="20"/>
        <v>0</v>
      </c>
      <c r="S103" s="46"/>
      <c r="T103" s="46"/>
      <c r="U103" s="46">
        <f t="shared" si="18"/>
        <v>16</v>
      </c>
      <c r="V103" s="46">
        <f t="shared" si="15"/>
        <v>0</v>
      </c>
      <c r="W103" s="46">
        <f t="shared" si="16"/>
        <v>0</v>
      </c>
      <c r="X103" s="46">
        <f t="shared" si="17"/>
        <v>0</v>
      </c>
      <c r="Y103" s="46">
        <v>87</v>
      </c>
      <c r="Z103" s="762" t="str">
        <f>IFERROR(IF(AND('Project Info and Instructions'!F20="Owner-occupied",AJ113=1),"Owner-occupied Housing Expense - A state has not been selected."," ")," ")</f>
        <v xml:space="preserve"> </v>
      </c>
      <c r="AA103" s="82">
        <v>87</v>
      </c>
    </row>
    <row r="104" spans="2:46" s="82" customFormat="1" ht="14.25" customHeight="1">
      <c r="B104" s="2406" t="str">
        <f t="shared" si="13"/>
        <v xml:space="preserve"> </v>
      </c>
      <c r="C104" s="2406"/>
      <c r="D104" s="2406"/>
      <c r="E104" s="2406"/>
      <c r="F104" s="2406"/>
      <c r="G104" s="2406"/>
      <c r="H104" s="2406"/>
      <c r="I104" s="2406"/>
      <c r="J104" s="2406"/>
      <c r="K104" s="2406"/>
      <c r="L104" s="2406"/>
      <c r="M104" s="2406"/>
      <c r="N104" s="763"/>
      <c r="O104" s="82">
        <f t="shared" si="20"/>
        <v>0</v>
      </c>
      <c r="S104" s="46"/>
      <c r="T104" s="46"/>
      <c r="U104" s="46">
        <f t="shared" si="18"/>
        <v>16</v>
      </c>
      <c r="V104" s="46">
        <f t="shared" si="15"/>
        <v>0</v>
      </c>
      <c r="W104" s="46">
        <f t="shared" si="16"/>
        <v>0</v>
      </c>
      <c r="X104" s="46">
        <f t="shared" si="17"/>
        <v>0</v>
      </c>
      <c r="Y104" s="46">
        <v>88</v>
      </c>
      <c r="Z104" s="762" t="str">
        <f>IFERROR(IF(AND('Project Info and Instructions'!F20="Owner-occupied",'D-Owner-Occ Housing Expense'!U14=1),"Owner-occupied Housing Expense - A county has not been selected."," ")," ")</f>
        <v xml:space="preserve"> </v>
      </c>
      <c r="AA104" s="82">
        <v>88</v>
      </c>
    </row>
    <row r="105" spans="2:46" s="82" customFormat="1" ht="14.25" customHeight="1">
      <c r="B105" s="2406" t="str">
        <f t="shared" si="13"/>
        <v xml:space="preserve"> </v>
      </c>
      <c r="C105" s="2406"/>
      <c r="D105" s="2406"/>
      <c r="E105" s="2406"/>
      <c r="F105" s="2406"/>
      <c r="G105" s="2406"/>
      <c r="H105" s="2406"/>
      <c r="I105" s="2406"/>
      <c r="J105" s="2406"/>
      <c r="K105" s="2406"/>
      <c r="L105" s="2406"/>
      <c r="M105" s="2406"/>
      <c r="O105" s="82">
        <f t="shared" si="20"/>
        <v>0</v>
      </c>
      <c r="P105" s="763"/>
      <c r="S105" s="46"/>
      <c r="T105" s="46"/>
      <c r="U105" s="46">
        <f t="shared" si="18"/>
        <v>16</v>
      </c>
      <c r="V105" s="46">
        <f t="shared" si="15"/>
        <v>0</v>
      </c>
      <c r="W105" s="46">
        <f t="shared" si="16"/>
        <v>0</v>
      </c>
      <c r="X105" s="46">
        <f t="shared" si="17"/>
        <v>0</v>
      </c>
      <c r="Y105" s="46">
        <v>89</v>
      </c>
      <c r="Z105" s="762" t="str">
        <f>IFERROR(IF(AND('Project Info and Instructions'!F20="Owner-occupied",AN101&lt;$AT$101),"Owner-occupied Housing Expense - Sales price has not been indicated for all listed homes."," ")," ")</f>
        <v xml:space="preserve"> </v>
      </c>
      <c r="AA105" s="82">
        <v>89</v>
      </c>
    </row>
    <row r="106" spans="2:46" s="82" customFormat="1" ht="14.25" customHeight="1">
      <c r="B106" s="2406" t="str">
        <f t="shared" si="13"/>
        <v xml:space="preserve"> </v>
      </c>
      <c r="C106" s="2406"/>
      <c r="D106" s="2406"/>
      <c r="E106" s="2406"/>
      <c r="F106" s="2406"/>
      <c r="G106" s="2406"/>
      <c r="H106" s="2406"/>
      <c r="I106" s="2406"/>
      <c r="J106" s="2406"/>
      <c r="K106" s="2406"/>
      <c r="L106" s="2406"/>
      <c r="M106" s="2406"/>
      <c r="O106" s="82">
        <f t="shared" si="20"/>
        <v>0</v>
      </c>
      <c r="S106" s="46"/>
      <c r="T106" s="46"/>
      <c r="U106" s="46">
        <f t="shared" si="18"/>
        <v>16</v>
      </c>
      <c r="V106" s="46">
        <f t="shared" si="15"/>
        <v>0</v>
      </c>
      <c r="W106" s="46">
        <f t="shared" si="16"/>
        <v>0</v>
      </c>
      <c r="X106" s="46">
        <f t="shared" si="17"/>
        <v>0</v>
      </c>
      <c r="Y106" s="46">
        <v>90</v>
      </c>
      <c r="Z106" s="762" t="str">
        <f>IFERROR(IF(AND('Project Info and Instructions'!F20="Owner-occupied",AO101&lt;$AT$101),"Owner-occupied Housing Expense - Estimated mortgage amount has not been indicated for all listed homes."," ")," ")</f>
        <v xml:space="preserve"> </v>
      </c>
      <c r="AA106" s="82">
        <v>90</v>
      </c>
    </row>
    <row r="107" spans="2:46" s="82" customFormat="1" ht="14.25" customHeight="1">
      <c r="B107" s="2406" t="str">
        <f t="shared" si="13"/>
        <v xml:space="preserve"> </v>
      </c>
      <c r="C107" s="2406"/>
      <c r="D107" s="2406"/>
      <c r="E107" s="2406"/>
      <c r="F107" s="2406"/>
      <c r="G107" s="2406"/>
      <c r="H107" s="2406"/>
      <c r="I107" s="2406"/>
      <c r="J107" s="2406"/>
      <c r="K107" s="2406"/>
      <c r="L107" s="2406"/>
      <c r="M107" s="2406"/>
      <c r="O107" s="82">
        <f t="shared" si="20"/>
        <v>0</v>
      </c>
      <c r="S107" s="46"/>
      <c r="T107" s="46"/>
      <c r="U107" s="46">
        <f t="shared" si="18"/>
        <v>16</v>
      </c>
      <c r="V107" s="46">
        <f t="shared" si="15"/>
        <v>0</v>
      </c>
      <c r="W107" s="46">
        <f t="shared" si="16"/>
        <v>0</v>
      </c>
      <c r="X107" s="46">
        <f t="shared" si="17"/>
        <v>0</v>
      </c>
      <c r="Y107" s="46">
        <v>91</v>
      </c>
      <c r="Z107" s="762" t="str">
        <f>IFERROR(IF(AND('Project Info and Instructions'!F20="Owner-occupied",AP101&lt;$AT$101),"Owner-occupied Housing Expense - Mortgage rate has not been indicated for all listed homes."," ")," ")</f>
        <v xml:space="preserve"> </v>
      </c>
      <c r="AA107" s="82">
        <v>91</v>
      </c>
    </row>
    <row r="108" spans="2:46" s="82" customFormat="1" ht="14.25" customHeight="1">
      <c r="B108" s="2406" t="str">
        <f t="shared" si="13"/>
        <v xml:space="preserve"> </v>
      </c>
      <c r="C108" s="2406"/>
      <c r="D108" s="2406"/>
      <c r="E108" s="2406"/>
      <c r="F108" s="2406"/>
      <c r="G108" s="2406"/>
      <c r="H108" s="2406"/>
      <c r="I108" s="2406"/>
      <c r="J108" s="2406"/>
      <c r="K108" s="2406"/>
      <c r="L108" s="2406"/>
      <c r="M108" s="2406"/>
      <c r="O108" s="82">
        <f t="shared" si="20"/>
        <v>0</v>
      </c>
      <c r="S108" s="46"/>
      <c r="T108" s="46"/>
      <c r="U108" s="46">
        <f t="shared" si="18"/>
        <v>16</v>
      </c>
      <c r="V108" s="46">
        <f t="shared" si="15"/>
        <v>0</v>
      </c>
      <c r="W108" s="46">
        <f t="shared" si="16"/>
        <v>0</v>
      </c>
      <c r="X108" s="46">
        <f t="shared" si="17"/>
        <v>0</v>
      </c>
      <c r="Y108" s="46">
        <v>92</v>
      </c>
      <c r="Z108" s="762" t="str">
        <f>IFERROR(IF(AND('Project Info and Instructions'!F20="Owner-occupied",AQ101&lt;$AT$101),"Owner-occupied Housing Expense - Mortgage term has not been indicated for all listed homes."," ")," ")</f>
        <v xml:space="preserve"> </v>
      </c>
      <c r="AA108" s="82">
        <v>92</v>
      </c>
      <c r="AC108" s="82">
        <f>'E-Feasibility Analysis'!$M$22</f>
        <v>0</v>
      </c>
    </row>
    <row r="109" spans="2:46" s="82" customFormat="1" ht="14.25" customHeight="1">
      <c r="B109" s="2406" t="str">
        <f t="shared" si="13"/>
        <v xml:space="preserve"> </v>
      </c>
      <c r="C109" s="2406"/>
      <c r="D109" s="2406"/>
      <c r="E109" s="2406"/>
      <c r="F109" s="2406"/>
      <c r="G109" s="2406"/>
      <c r="H109" s="2406"/>
      <c r="I109" s="2406"/>
      <c r="J109" s="2406"/>
      <c r="K109" s="2406"/>
      <c r="L109" s="2406"/>
      <c r="M109" s="2406"/>
      <c r="O109" s="82">
        <f t="shared" si="20"/>
        <v>0</v>
      </c>
      <c r="S109" s="46"/>
      <c r="T109" s="46"/>
      <c r="U109" s="46">
        <f t="shared" si="18"/>
        <v>16</v>
      </c>
      <c r="V109" s="46">
        <f t="shared" si="15"/>
        <v>0</v>
      </c>
      <c r="W109" s="46">
        <f t="shared" si="16"/>
        <v>0</v>
      </c>
      <c r="X109" s="46">
        <f t="shared" si="17"/>
        <v>0</v>
      </c>
      <c r="Y109" s="46">
        <v>93</v>
      </c>
      <c r="Z109" s="762" t="str">
        <f>IFERROR(IF(AND(AC98="Owner-occupied",AB96=1),"Owner-occupied Housing Expense - The number of units reserved for special needs was not indicated."," ")," ")</f>
        <v xml:space="preserve"> </v>
      </c>
      <c r="AA109" s="82">
        <v>93</v>
      </c>
    </row>
    <row r="110" spans="2:46" s="82" customFormat="1" ht="14.25" customHeight="1">
      <c r="B110" s="2406" t="str">
        <f t="shared" si="13"/>
        <v xml:space="preserve"> </v>
      </c>
      <c r="C110" s="2406"/>
      <c r="D110" s="2406"/>
      <c r="E110" s="2406"/>
      <c r="F110" s="2406"/>
      <c r="G110" s="2406"/>
      <c r="H110" s="2406"/>
      <c r="I110" s="2406"/>
      <c r="J110" s="2406"/>
      <c r="K110" s="2406"/>
      <c r="L110" s="2406"/>
      <c r="M110" s="2406"/>
      <c r="O110" s="82">
        <f t="shared" si="20"/>
        <v>0</v>
      </c>
      <c r="S110" s="46"/>
      <c r="T110" s="46"/>
      <c r="U110" s="46">
        <f t="shared" si="18"/>
        <v>16</v>
      </c>
      <c r="V110" s="46">
        <f t="shared" si="15"/>
        <v>0</v>
      </c>
      <c r="W110" s="46">
        <f t="shared" si="16"/>
        <v>0</v>
      </c>
      <c r="X110" s="46">
        <f t="shared" si="17"/>
        <v>0</v>
      </c>
      <c r="Y110" s="46">
        <v>94</v>
      </c>
      <c r="Z110" s="762" t="str">
        <f>IFERROR(IF(AND(AC98="Owner-occupied",AB97=1),"Owner-occupied Housing Expense - The number of units reserved for homeless households was not indicated."," ")," ")</f>
        <v xml:space="preserve"> </v>
      </c>
      <c r="AA110" s="82">
        <v>94</v>
      </c>
      <c r="AC110" s="776" t="str">
        <f>'Project Info and Instructions'!$F$20</f>
        <v>Rental</v>
      </c>
    </row>
    <row r="111" spans="2:46" s="82" customFormat="1" ht="14.25" customHeight="1">
      <c r="B111" s="2406" t="str">
        <f t="shared" si="13"/>
        <v xml:space="preserve"> </v>
      </c>
      <c r="C111" s="2406"/>
      <c r="D111" s="2406"/>
      <c r="E111" s="2406"/>
      <c r="F111" s="2406"/>
      <c r="G111" s="2406"/>
      <c r="H111" s="2406"/>
      <c r="I111" s="2406"/>
      <c r="J111" s="2406"/>
      <c r="K111" s="2406"/>
      <c r="L111" s="2406"/>
      <c r="M111" s="2406"/>
      <c r="O111" s="82">
        <f t="shared" si="20"/>
        <v>0</v>
      </c>
      <c r="S111" s="46"/>
      <c r="T111" s="46"/>
      <c r="U111" s="46">
        <f t="shared" si="18"/>
        <v>16</v>
      </c>
      <c r="V111" s="46">
        <f t="shared" si="15"/>
        <v>0</v>
      </c>
      <c r="W111" s="46">
        <f t="shared" si="16"/>
        <v>0</v>
      </c>
      <c r="X111" s="46">
        <f t="shared" si="17"/>
        <v>0</v>
      </c>
      <c r="Y111" s="46">
        <v>95</v>
      </c>
      <c r="Z111" s="762" t="str">
        <f>IFERROR(IF(AND('Project Info and Instructions'!F20="Owner-occupied",AR101&lt;$AT$101),"Owner-occupied Housing Expense - Monthly taxes and insurance has not been indicated for all listed homes."," ")," ")</f>
        <v xml:space="preserve"> </v>
      </c>
      <c r="AA111" s="82">
        <v>95</v>
      </c>
    </row>
    <row r="112" spans="2:46" s="82" customFormat="1" ht="14.25" customHeight="1">
      <c r="B112" s="2406" t="str">
        <f t="shared" si="13"/>
        <v xml:space="preserve"> </v>
      </c>
      <c r="C112" s="2406"/>
      <c r="D112" s="2406"/>
      <c r="E112" s="2406"/>
      <c r="F112" s="2406"/>
      <c r="G112" s="2406"/>
      <c r="H112" s="2406"/>
      <c r="I112" s="2406"/>
      <c r="J112" s="2406"/>
      <c r="K112" s="2406"/>
      <c r="L112" s="2406"/>
      <c r="M112" s="2406"/>
      <c r="O112" s="82">
        <f t="shared" si="20"/>
        <v>0</v>
      </c>
      <c r="S112" s="46"/>
      <c r="T112" s="46"/>
      <c r="U112" s="46">
        <f t="shared" si="18"/>
        <v>16</v>
      </c>
      <c r="V112" s="46">
        <f t="shared" si="15"/>
        <v>0</v>
      </c>
      <c r="W112" s="46">
        <f t="shared" si="16"/>
        <v>0</v>
      </c>
      <c r="X112" s="46">
        <f t="shared" si="17"/>
        <v>0</v>
      </c>
      <c r="Y112" s="46">
        <v>96</v>
      </c>
      <c r="Z112" s="762" t="str">
        <f>IFERROR(IF('E-Feasibility Analysis'!M15&lt;&gt;'E-Feasibility Analysis'!M17,"Feasibility Analysis - Sources does not equal uses."," ")," ")</f>
        <v xml:space="preserve"> </v>
      </c>
      <c r="AA112" s="82">
        <v>96</v>
      </c>
      <c r="AC112" s="82" t="str">
        <f t="shared" ref="AC112:AC121" si="21">IF($T$113&gt;=Y99,(VLOOKUP(Y99,$AA$128:$AA$138,7,FALSE)),"")</f>
        <v/>
      </c>
    </row>
    <row r="113" spans="2:56" s="82" customFormat="1" ht="14.25" customHeight="1">
      <c r="B113" s="2406" t="str">
        <f t="shared" si="13"/>
        <v xml:space="preserve"> </v>
      </c>
      <c r="C113" s="2406"/>
      <c r="D113" s="2406"/>
      <c r="E113" s="2406"/>
      <c r="F113" s="2406"/>
      <c r="G113" s="2406"/>
      <c r="H113" s="2406"/>
      <c r="I113" s="2406"/>
      <c r="J113" s="2406"/>
      <c r="K113" s="2406"/>
      <c r="L113" s="2406"/>
      <c r="M113" s="2406"/>
      <c r="O113" s="82">
        <f t="shared" si="20"/>
        <v>0</v>
      </c>
      <c r="S113" s="46"/>
      <c r="T113" s="46"/>
      <c r="U113" s="46">
        <f t="shared" si="18"/>
        <v>5</v>
      </c>
      <c r="V113" s="46">
        <f t="shared" si="15"/>
        <v>11</v>
      </c>
      <c r="W113" s="46">
        <f t="shared" si="16"/>
        <v>1</v>
      </c>
      <c r="X113" s="46">
        <f t="shared" si="17"/>
        <v>1</v>
      </c>
      <c r="Y113" s="46">
        <v>97</v>
      </c>
      <c r="Z113" s="762" t="str">
        <f>IFERROR(IF(AC108=0,"Feasibility Analysis - It was not indicated whether or not the Sources Statement includes estimates of all funds proposed, approved, and received."," ")," ")</f>
        <v>Feasibility Analysis - It was not indicated whether or not the Sources Statement includes estimates of all funds proposed, approved, and received.</v>
      </c>
      <c r="AA113" s="82">
        <v>97</v>
      </c>
      <c r="AC113" s="82" t="str">
        <f t="shared" si="21"/>
        <v/>
      </c>
      <c r="AJ113" s="82">
        <f>'D-Owner-Occ Housing Expense'!Y14</f>
        <v>1</v>
      </c>
    </row>
    <row r="114" spans="2:56" s="82" customFormat="1" ht="14.25" customHeight="1">
      <c r="B114" s="2406" t="str">
        <f t="shared" ref="B114:B170" si="22">IF($T$17&gt;=Y114,(VLOOKUP(Y114,$V$17:$Z$190,5,FALSE))," ")</f>
        <v xml:space="preserve"> </v>
      </c>
      <c r="C114" s="2406"/>
      <c r="D114" s="2406"/>
      <c r="E114" s="2406"/>
      <c r="F114" s="2406"/>
      <c r="G114" s="2406"/>
      <c r="H114" s="2406"/>
      <c r="I114" s="2406"/>
      <c r="J114" s="2406"/>
      <c r="K114" s="2406"/>
      <c r="L114" s="2406"/>
      <c r="M114" s="2406"/>
      <c r="O114" s="82">
        <f t="shared" si="20"/>
        <v>0</v>
      </c>
      <c r="S114" s="46"/>
      <c r="T114" s="46"/>
      <c r="U114" s="46">
        <f t="shared" si="18"/>
        <v>16</v>
      </c>
      <c r="V114" s="46">
        <f t="shared" si="15"/>
        <v>0</v>
      </c>
      <c r="W114" s="46">
        <f t="shared" si="16"/>
        <v>0</v>
      </c>
      <c r="X114" s="46">
        <f t="shared" si="17"/>
        <v>0</v>
      </c>
      <c r="Y114" s="46">
        <v>98</v>
      </c>
      <c r="Z114" s="762" t="str">
        <f>IFERROR(IF(AND('E-Feasibility Analysis'!AC59=1,'E-Feasibility Analysis'!AD59=1),"Feasibility Analysis - An explanation as to why the developer fee is greater than 10% of total development costs (net the developer fee) or 15% if the project includes tax credit financing has not been provided."," ")," ")</f>
        <v xml:space="preserve"> </v>
      </c>
      <c r="AA114" s="82">
        <v>98</v>
      </c>
      <c r="AC114" s="82" t="str">
        <f t="shared" si="21"/>
        <v/>
      </c>
    </row>
    <row r="115" spans="2:56" s="82" customFormat="1" ht="14.25" customHeight="1">
      <c r="B115" s="2406" t="str">
        <f t="shared" si="22"/>
        <v xml:space="preserve"> </v>
      </c>
      <c r="C115" s="2406"/>
      <c r="D115" s="2406"/>
      <c r="E115" s="2406"/>
      <c r="F115" s="2406"/>
      <c r="G115" s="2406"/>
      <c r="H115" s="2406"/>
      <c r="I115" s="2406"/>
      <c r="J115" s="2406"/>
      <c r="K115" s="2406"/>
      <c r="L115" s="2406"/>
      <c r="M115" s="2406"/>
      <c r="O115" s="82">
        <f t="shared" si="20"/>
        <v>0</v>
      </c>
      <c r="S115" s="46"/>
      <c r="T115" s="46"/>
      <c r="U115" s="46">
        <f t="shared" si="18"/>
        <v>16</v>
      </c>
      <c r="V115" s="46">
        <f t="shared" si="15"/>
        <v>0</v>
      </c>
      <c r="W115" s="46">
        <f t="shared" si="16"/>
        <v>0</v>
      </c>
      <c r="X115" s="46">
        <f t="shared" si="17"/>
        <v>0</v>
      </c>
      <c r="Y115" s="46">
        <v>99</v>
      </c>
      <c r="Z115" s="762" t="str">
        <f>IFERROR(IF(AND('E-Feasibility Analysis'!AC78=1,'E-Feasibility Analysis'!AD78=1),"Feasibility Analysis - An explanation as to why capitalized operating reserves exceeds 12 months of operating expenses and hard debt service has not been provided."," ")," ")</f>
        <v xml:space="preserve"> </v>
      </c>
      <c r="AA115" s="82">
        <v>99</v>
      </c>
      <c r="AC115" s="82" t="str">
        <f t="shared" si="21"/>
        <v/>
      </c>
      <c r="BD115" s="82">
        <f>COUNTIF(B131:B148,"&lt;&gt;"&amp;" ")</f>
        <v>0</v>
      </c>
    </row>
    <row r="116" spans="2:56" s="82" customFormat="1" ht="14.25" customHeight="1">
      <c r="B116" s="2406" t="str">
        <f t="shared" si="22"/>
        <v xml:space="preserve"> </v>
      </c>
      <c r="C116" s="2406"/>
      <c r="D116" s="2406"/>
      <c r="E116" s="2406"/>
      <c r="F116" s="2406"/>
      <c r="G116" s="2406"/>
      <c r="H116" s="2406"/>
      <c r="I116" s="2406"/>
      <c r="J116" s="2406"/>
      <c r="K116" s="2406"/>
      <c r="L116" s="2406"/>
      <c r="M116" s="2406"/>
      <c r="O116" s="82">
        <f t="shared" si="20"/>
        <v>0</v>
      </c>
      <c r="S116" s="46"/>
      <c r="T116" s="46"/>
      <c r="U116" s="46">
        <f t="shared" si="18"/>
        <v>16</v>
      </c>
      <c r="V116" s="46">
        <f t="shared" si="15"/>
        <v>0</v>
      </c>
      <c r="W116" s="46">
        <f t="shared" si="16"/>
        <v>0</v>
      </c>
      <c r="X116" s="46">
        <f t="shared" si="17"/>
        <v>0</v>
      </c>
      <c r="Y116" s="46">
        <v>100</v>
      </c>
      <c r="Z116" s="762" t="str">
        <f>IFERROR(IF(AND('E-Feasibility Analysis'!AB98=1,'E-Feasibility Analysis'!AC98=1),"Feasibility Analysis - An explanation for the project's development costs exceeding RSMeans has not been provided."," ")," ")</f>
        <v xml:space="preserve"> </v>
      </c>
      <c r="AA116" s="82">
        <v>100</v>
      </c>
      <c r="AC116" s="82" t="str">
        <f t="shared" si="21"/>
        <v/>
      </c>
    </row>
    <row r="117" spans="2:56" s="82" customFormat="1" ht="14.25" customHeight="1">
      <c r="B117" s="2406" t="str">
        <f t="shared" si="22"/>
        <v xml:space="preserve"> </v>
      </c>
      <c r="C117" s="2406"/>
      <c r="D117" s="2406"/>
      <c r="E117" s="2406"/>
      <c r="F117" s="2406"/>
      <c r="G117" s="2406"/>
      <c r="H117" s="2406"/>
      <c r="I117" s="2406"/>
      <c r="J117" s="2406"/>
      <c r="K117" s="2406"/>
      <c r="L117" s="2406"/>
      <c r="M117" s="2406"/>
      <c r="O117" s="82">
        <f t="shared" si="20"/>
        <v>0</v>
      </c>
      <c r="S117" s="46"/>
      <c r="T117" s="46"/>
      <c r="U117" s="46">
        <f t="shared" si="18"/>
        <v>16</v>
      </c>
      <c r="V117" s="46">
        <f t="shared" si="15"/>
        <v>0</v>
      </c>
      <c r="W117" s="46">
        <f t="shared" si="16"/>
        <v>0</v>
      </c>
      <c r="X117" s="46">
        <f t="shared" si="17"/>
        <v>0</v>
      </c>
      <c r="Y117" s="46">
        <v>101</v>
      </c>
      <c r="Z117" s="762" t="str">
        <f>IFERROR(IF(AND('E-Feasibility Analysis'!AB116=1,'E-Feasibility Analysis'!AC116=1),"Feasibility Analysis - An explanation for the project's hard cost contingency exceeding the benchmark for the project type has not been provided."," ")," ")</f>
        <v xml:space="preserve"> </v>
      </c>
      <c r="AA117" s="82">
        <v>101</v>
      </c>
      <c r="AC117" s="82" t="str">
        <f t="shared" si="21"/>
        <v/>
      </c>
    </row>
    <row r="118" spans="2:56" s="82" customFormat="1" ht="14.25" customHeight="1">
      <c r="B118" s="2406" t="str">
        <f t="shared" si="22"/>
        <v xml:space="preserve"> </v>
      </c>
      <c r="C118" s="2406"/>
      <c r="D118" s="2406"/>
      <c r="E118" s="2406"/>
      <c r="F118" s="2406"/>
      <c r="G118" s="2406"/>
      <c r="H118" s="2406"/>
      <c r="I118" s="2406"/>
      <c r="J118" s="2406"/>
      <c r="K118" s="2406"/>
      <c r="L118" s="2406"/>
      <c r="M118" s="2406"/>
      <c r="O118" s="82">
        <f t="shared" si="20"/>
        <v>0</v>
      </c>
      <c r="S118" s="46"/>
      <c r="T118" s="46"/>
      <c r="U118" s="46">
        <f t="shared" si="18"/>
        <v>16</v>
      </c>
      <c r="V118" s="46">
        <f t="shared" si="15"/>
        <v>0</v>
      </c>
      <c r="W118" s="46">
        <f t="shared" si="16"/>
        <v>0</v>
      </c>
      <c r="X118" s="46">
        <f t="shared" si="17"/>
        <v>0</v>
      </c>
      <c r="Y118" s="46">
        <v>102</v>
      </c>
      <c r="Z118" s="762" t="str">
        <f>IFERROR(IF(AND('E-Feasibility Analysis'!AB123=1,'E-Feasibility Analysis'!AC123=1),"Feasibility Analysis - An explanation for the project's soft cost contingency exceeding the benchmark has not been provided."," ")," ")</f>
        <v xml:space="preserve"> </v>
      </c>
      <c r="AA118" s="82">
        <v>102</v>
      </c>
      <c r="AC118" s="82" t="str">
        <f t="shared" si="21"/>
        <v/>
      </c>
    </row>
    <row r="119" spans="2:56" s="82" customFormat="1" ht="14.25" customHeight="1">
      <c r="B119" s="2406" t="str">
        <f t="shared" si="22"/>
        <v xml:space="preserve"> </v>
      </c>
      <c r="C119" s="2406"/>
      <c r="D119" s="2406"/>
      <c r="E119" s="2406"/>
      <c r="F119" s="2406"/>
      <c r="G119" s="2406"/>
      <c r="H119" s="2406"/>
      <c r="I119" s="2406"/>
      <c r="J119" s="2406"/>
      <c r="K119" s="2406"/>
      <c r="L119" s="2406"/>
      <c r="M119" s="2406"/>
      <c r="O119" s="82">
        <f t="shared" si="20"/>
        <v>0</v>
      </c>
      <c r="S119" s="46"/>
      <c r="T119" s="46"/>
      <c r="U119" s="46">
        <f t="shared" si="18"/>
        <v>16</v>
      </c>
      <c r="V119" s="46">
        <f t="shared" si="15"/>
        <v>0</v>
      </c>
      <c r="W119" s="46">
        <f t="shared" si="16"/>
        <v>0</v>
      </c>
      <c r="X119" s="46">
        <f t="shared" si="17"/>
        <v>0</v>
      </c>
      <c r="Y119" s="46">
        <v>103</v>
      </c>
      <c r="Z119" s="762" t="str">
        <f>IFERROR(IF(AND('E-Feasibility Analysis'!AB133=1,'E-Feasibility Analysis'!AC133=1),"Feasibility Analysis - An explanation for the project's soft costs exceeding the benchmark has not been provided."," ")," ")</f>
        <v xml:space="preserve"> </v>
      </c>
      <c r="AA119" s="82">
        <v>103</v>
      </c>
      <c r="AC119" s="82" t="str">
        <f t="shared" si="21"/>
        <v/>
      </c>
    </row>
    <row r="120" spans="2:56" s="82" customFormat="1" ht="14.25" customHeight="1">
      <c r="B120" s="2406" t="str">
        <f t="shared" si="22"/>
        <v xml:space="preserve"> </v>
      </c>
      <c r="C120" s="2406"/>
      <c r="D120" s="2406"/>
      <c r="E120" s="2406"/>
      <c r="F120" s="2406"/>
      <c r="G120" s="2406"/>
      <c r="H120" s="2406"/>
      <c r="I120" s="2406"/>
      <c r="J120" s="2406"/>
      <c r="K120" s="2406"/>
      <c r="L120" s="2406"/>
      <c r="M120" s="2406"/>
      <c r="O120" s="82">
        <f t="shared" si="20"/>
        <v>0</v>
      </c>
      <c r="S120" s="46"/>
      <c r="T120" s="46"/>
      <c r="U120" s="46">
        <f t="shared" si="18"/>
        <v>16</v>
      </c>
      <c r="V120" s="46">
        <f t="shared" si="15"/>
        <v>0</v>
      </c>
      <c r="W120" s="46">
        <f t="shared" si="16"/>
        <v>0</v>
      </c>
      <c r="X120" s="46">
        <f t="shared" si="17"/>
        <v>0</v>
      </c>
      <c r="Y120" s="46">
        <v>104</v>
      </c>
      <c r="Z120" s="762" t="str">
        <f>IFERROR(IF('E-Feasibility Analysis'!AI144&gt;0,"Feasibility Analysis - The lender name was not provided for all project loans listed under section 3 - Hard &amp; Soft Debt."," ")," ")</f>
        <v xml:space="preserve"> </v>
      </c>
      <c r="AA120" s="82">
        <v>104</v>
      </c>
      <c r="AC120" s="82" t="str">
        <f t="shared" si="21"/>
        <v/>
      </c>
    </row>
    <row r="121" spans="2:56" s="82" customFormat="1" ht="14.25" customHeight="1">
      <c r="B121" s="2406" t="str">
        <f t="shared" si="22"/>
        <v xml:space="preserve"> </v>
      </c>
      <c r="C121" s="2406"/>
      <c r="D121" s="2406"/>
      <c r="E121" s="2406"/>
      <c r="F121" s="2406"/>
      <c r="G121" s="2406"/>
      <c r="H121" s="2406"/>
      <c r="I121" s="2406"/>
      <c r="J121" s="2406"/>
      <c r="K121" s="2406"/>
      <c r="L121" s="2406"/>
      <c r="M121" s="2406"/>
      <c r="O121" s="82">
        <f t="shared" si="20"/>
        <v>0</v>
      </c>
      <c r="S121" s="46"/>
      <c r="T121" s="46"/>
      <c r="U121" s="46">
        <f t="shared" si="18"/>
        <v>16</v>
      </c>
      <c r="V121" s="46">
        <f t="shared" si="15"/>
        <v>0</v>
      </c>
      <c r="W121" s="46">
        <f t="shared" si="16"/>
        <v>0</v>
      </c>
      <c r="X121" s="46">
        <f t="shared" si="17"/>
        <v>0</v>
      </c>
      <c r="Y121" s="46">
        <v>105</v>
      </c>
      <c r="Z121" s="762" t="str">
        <f>IFERROR(IF('E-Feasibility Analysis'!AI145&gt;0,"Feasibility Analysis - Points have not been indicated for all project loans listed under section 3 - Hard &amp; Soft Debt (input 0 if none)."," ")," ")</f>
        <v xml:space="preserve"> </v>
      </c>
      <c r="AA121" s="82">
        <v>105</v>
      </c>
      <c r="AC121" s="82" t="str">
        <f t="shared" si="21"/>
        <v/>
      </c>
    </row>
    <row r="122" spans="2:56" s="82" customFormat="1" ht="14.25" customHeight="1">
      <c r="B122" s="2406" t="str">
        <f t="shared" si="22"/>
        <v xml:space="preserve"> </v>
      </c>
      <c r="C122" s="2406"/>
      <c r="D122" s="2406"/>
      <c r="E122" s="2406"/>
      <c r="F122" s="2406"/>
      <c r="G122" s="2406"/>
      <c r="H122" s="2406"/>
      <c r="I122" s="2406"/>
      <c r="J122" s="2406"/>
      <c r="K122" s="2406"/>
      <c r="L122" s="2406"/>
      <c r="M122" s="2406"/>
      <c r="O122" s="82">
        <f t="shared" si="20"/>
        <v>0</v>
      </c>
      <c r="S122" s="46"/>
      <c r="T122" s="46"/>
      <c r="U122" s="46">
        <f t="shared" si="18"/>
        <v>16</v>
      </c>
      <c r="V122" s="46">
        <f t="shared" si="15"/>
        <v>0</v>
      </c>
      <c r="W122" s="46">
        <f t="shared" si="16"/>
        <v>0</v>
      </c>
      <c r="X122" s="46">
        <f t="shared" si="17"/>
        <v>0</v>
      </c>
      <c r="Y122" s="46">
        <v>106</v>
      </c>
      <c r="Z122" s="762" t="str">
        <f>IFERROR(IF('E-Feasibility Analysis'!AI146&gt;0,"Feasibility Analysis - Fees have not been indicated for all project loans  listed under section 3 - Hard &amp; Soft Debt (input 0 if none)."," ")," ")</f>
        <v xml:space="preserve"> </v>
      </c>
      <c r="AA122" s="82">
        <v>106</v>
      </c>
      <c r="AC122" s="82" t="str">
        <f>IF($T$113&gt;=Y111,(VLOOKUP(Y111,$AA$128:$AA$138,7,FALSE)),"")</f>
        <v/>
      </c>
    </row>
    <row r="123" spans="2:56" s="82" customFormat="1" ht="14.25" customHeight="1">
      <c r="B123" s="2406" t="str">
        <f t="shared" si="22"/>
        <v xml:space="preserve"> </v>
      </c>
      <c r="C123" s="2406"/>
      <c r="D123" s="2406"/>
      <c r="E123" s="2406"/>
      <c r="F123" s="2406"/>
      <c r="G123" s="2406"/>
      <c r="H123" s="2406"/>
      <c r="I123" s="2406"/>
      <c r="J123" s="2406"/>
      <c r="K123" s="2406"/>
      <c r="L123" s="2406"/>
      <c r="M123" s="2406"/>
      <c r="O123" s="82">
        <f t="shared" si="20"/>
        <v>0</v>
      </c>
      <c r="S123" s="46"/>
      <c r="T123" s="46"/>
      <c r="U123" s="46">
        <f t="shared" si="18"/>
        <v>16</v>
      </c>
      <c r="V123" s="46">
        <f t="shared" ref="V123:V169" si="23">IF(X123&gt;0,SUMIF(Y:Y,"&lt;="&amp;AA123,X:X),0)</f>
        <v>0</v>
      </c>
      <c r="W123" s="46">
        <f t="shared" ref="W123:W170" si="24">IF(X123&gt;0,W122+X123,0)</f>
        <v>0</v>
      </c>
      <c r="X123" s="46">
        <f t="shared" ref="X123:X169" si="25">IF(Z123=" ",0,1)</f>
        <v>0</v>
      </c>
      <c r="Y123" s="46">
        <v>107</v>
      </c>
      <c r="Z123" s="762" t="str">
        <f>IFERROR(IF('E-Feasibility Analysis'!AI147&gt;0,"Feasibility Analysis - Other charges have not been indicated for all project loans listed under section 3 - Hard &amp; Soft Debt (input 0 if none)."," ")," ")</f>
        <v xml:space="preserve"> </v>
      </c>
      <c r="AA123" s="82">
        <v>107</v>
      </c>
      <c r="AB123" s="772"/>
    </row>
    <row r="124" spans="2:56" s="82" customFormat="1" ht="14.25" customHeight="1">
      <c r="B124" s="2406" t="str">
        <f t="shared" si="22"/>
        <v xml:space="preserve"> </v>
      </c>
      <c r="C124" s="2406"/>
      <c r="D124" s="2406"/>
      <c r="E124" s="2406"/>
      <c r="F124" s="2406"/>
      <c r="G124" s="2406"/>
      <c r="H124" s="2406"/>
      <c r="I124" s="2406"/>
      <c r="J124" s="2406"/>
      <c r="K124" s="2406"/>
      <c r="L124" s="2406"/>
      <c r="M124" s="2406"/>
      <c r="O124" s="82">
        <f t="shared" si="20"/>
        <v>0</v>
      </c>
      <c r="S124" s="46"/>
      <c r="T124" s="46"/>
      <c r="U124" s="46">
        <f t="shared" si="18"/>
        <v>16</v>
      </c>
      <c r="V124" s="46">
        <f t="shared" si="23"/>
        <v>0</v>
      </c>
      <c r="W124" s="46">
        <f t="shared" si="24"/>
        <v>0</v>
      </c>
      <c r="X124" s="46">
        <f t="shared" si="25"/>
        <v>0</v>
      </c>
      <c r="Y124" s="46">
        <v>108</v>
      </c>
      <c r="Z124" s="762" t="str">
        <f>IFERROR(IF(AND(AC110="Rental",'E-Feasibility Analysis'!Y159=1,'E-Feasibility Analysis'!Z159=1,'Project Info and Instructions'!F20="Rental"),"Feasibility Analysis - An explanation for the off-site management fee being outside of the benchmark has not been provided."," ")," ")</f>
        <v xml:space="preserve"> </v>
      </c>
      <c r="AA124" s="82">
        <v>108</v>
      </c>
      <c r="AB124" s="772"/>
    </row>
    <row r="125" spans="2:56" s="82" customFormat="1" ht="14.25" customHeight="1">
      <c r="B125" s="2406" t="str">
        <f t="shared" si="22"/>
        <v xml:space="preserve"> </v>
      </c>
      <c r="C125" s="2406"/>
      <c r="D125" s="2406"/>
      <c r="E125" s="2406"/>
      <c r="F125" s="2406"/>
      <c r="G125" s="2406"/>
      <c r="H125" s="2406"/>
      <c r="I125" s="2406"/>
      <c r="J125" s="2406"/>
      <c r="K125" s="2406"/>
      <c r="L125" s="2406"/>
      <c r="M125" s="2406"/>
      <c r="O125" s="82">
        <f t="shared" si="20"/>
        <v>0</v>
      </c>
      <c r="S125" s="46"/>
      <c r="T125" s="46"/>
      <c r="U125" s="46">
        <f t="shared" si="18"/>
        <v>16</v>
      </c>
      <c r="V125" s="46">
        <f t="shared" si="23"/>
        <v>0</v>
      </c>
      <c r="W125" s="46">
        <f t="shared" si="24"/>
        <v>0</v>
      </c>
      <c r="X125" s="46">
        <f t="shared" si="25"/>
        <v>0</v>
      </c>
      <c r="Y125" s="46">
        <v>109</v>
      </c>
      <c r="Z125" s="762" t="str">
        <f>IFERROR(IF(AND(AC110="Rental",'E-Feasibility Analysis'!Y169=1,'E-Feasibility Analysis'!Z169=1),"Feasibility Analysis - An explanation for key expenses being outside of the benchmark has not been provided."," ")," ")</f>
        <v xml:space="preserve"> </v>
      </c>
      <c r="AA125" s="82">
        <v>109</v>
      </c>
    </row>
    <row r="126" spans="2:56" s="82" customFormat="1" ht="14.25" customHeight="1">
      <c r="B126" s="2406" t="str">
        <f t="shared" si="22"/>
        <v xml:space="preserve"> </v>
      </c>
      <c r="C126" s="2406"/>
      <c r="D126" s="2406"/>
      <c r="E126" s="2406"/>
      <c r="F126" s="2406"/>
      <c r="G126" s="2406"/>
      <c r="H126" s="2406"/>
      <c r="I126" s="2406"/>
      <c r="J126" s="2406"/>
      <c r="K126" s="2406"/>
      <c r="L126" s="2406"/>
      <c r="M126" s="2406"/>
      <c r="O126" s="82">
        <f t="shared" si="20"/>
        <v>0</v>
      </c>
      <c r="S126" s="46"/>
      <c r="T126" s="46"/>
      <c r="U126" s="46">
        <f t="shared" si="18"/>
        <v>16</v>
      </c>
      <c r="V126" s="46">
        <f t="shared" si="23"/>
        <v>0</v>
      </c>
      <c r="W126" s="46">
        <f t="shared" si="24"/>
        <v>0</v>
      </c>
      <c r="X126" s="46">
        <f t="shared" si="25"/>
        <v>0</v>
      </c>
      <c r="Y126" s="46">
        <v>110</v>
      </c>
      <c r="Z126" s="762" t="str">
        <f>IFERROR(IF(AND(AC110="Rental",'E-Feasibility Analysis'!Y175=1,'E-Feasibility Analysis'!Z175=1),"Feasibility Analysis - An explanation for vacancy allowance being outside of the benchmark has not been provided."," ")," ")</f>
        <v xml:space="preserve"> </v>
      </c>
      <c r="AA126" s="82">
        <v>110</v>
      </c>
      <c r="AE126" s="82" t="s">
        <v>949</v>
      </c>
    </row>
    <row r="127" spans="2:56" s="82" customFormat="1" ht="14.25" customHeight="1">
      <c r="B127" s="2406" t="str">
        <f t="shared" si="22"/>
        <v xml:space="preserve"> </v>
      </c>
      <c r="C127" s="2406"/>
      <c r="D127" s="2406"/>
      <c r="E127" s="2406"/>
      <c r="F127" s="2406"/>
      <c r="G127" s="2406"/>
      <c r="H127" s="2406"/>
      <c r="I127" s="2406"/>
      <c r="J127" s="2406"/>
      <c r="K127" s="2406"/>
      <c r="L127" s="2406"/>
      <c r="M127" s="2406"/>
      <c r="O127" s="82">
        <f t="shared" si="20"/>
        <v>0</v>
      </c>
      <c r="S127" s="46"/>
      <c r="T127" s="46"/>
      <c r="U127" s="46">
        <f t="shared" si="18"/>
        <v>16</v>
      </c>
      <c r="V127" s="46">
        <f t="shared" si="23"/>
        <v>0</v>
      </c>
      <c r="W127" s="46">
        <f t="shared" si="24"/>
        <v>0</v>
      </c>
      <c r="X127" s="46">
        <f t="shared" si="25"/>
        <v>0</v>
      </c>
      <c r="Y127" s="46">
        <v>111</v>
      </c>
      <c r="Z127" s="762" t="str">
        <f>IFERROR(IF(AND(AC110="Rental",'E-Feasibility Analysis'!Y182=1,'E-Feasibility Analysis'!Z182=1),"Feasibility Analysis - An explanation for the debt coverage ratio (no private debt) being outside of the benchmark has not been provided."," ")," ")</f>
        <v xml:space="preserve"> </v>
      </c>
      <c r="AA127" s="82">
        <v>111</v>
      </c>
      <c r="AE127" s="82" t="str">
        <f>'Project Info and Instructions'!$Q$22</f>
        <v>Yes</v>
      </c>
    </row>
    <row r="128" spans="2:56" s="82" customFormat="1" ht="14.25" customHeight="1">
      <c r="B128" s="2406" t="str">
        <f t="shared" si="22"/>
        <v xml:space="preserve"> </v>
      </c>
      <c r="C128" s="2406"/>
      <c r="D128" s="2406"/>
      <c r="E128" s="2406"/>
      <c r="F128" s="2406"/>
      <c r="G128" s="2406"/>
      <c r="H128" s="2406"/>
      <c r="I128" s="2406"/>
      <c r="J128" s="2406"/>
      <c r="K128" s="2406"/>
      <c r="L128" s="2406"/>
      <c r="M128" s="2406"/>
      <c r="O128" s="82">
        <f t="shared" si="20"/>
        <v>0</v>
      </c>
      <c r="S128" s="46"/>
      <c r="T128" s="46"/>
      <c r="U128" s="46">
        <f t="shared" si="18"/>
        <v>16</v>
      </c>
      <c r="V128" s="46">
        <f t="shared" si="23"/>
        <v>0</v>
      </c>
      <c r="W128" s="46">
        <f t="shared" si="24"/>
        <v>0</v>
      </c>
      <c r="X128" s="46">
        <f t="shared" si="25"/>
        <v>0</v>
      </c>
      <c r="Y128" s="46">
        <v>112</v>
      </c>
      <c r="Z128" s="762" t="str">
        <f>IFERROR(IF(AND(AC110="Rental",'E-Feasibility Analysis'!Y187=1,'E-Feasibility Analysis'!Z187=1),"Feasibility Analysis - An explanation for the debt coverage ratio (with private debt)  being outside of the benchmark has not been provided."," ")," ")</f>
        <v xml:space="preserve"> </v>
      </c>
      <c r="AA128" s="82">
        <v>112</v>
      </c>
    </row>
    <row r="129" spans="2:55" s="82" customFormat="1" ht="14.25" customHeight="1">
      <c r="B129" s="2406" t="str">
        <f t="shared" si="22"/>
        <v xml:space="preserve"> </v>
      </c>
      <c r="C129" s="2406"/>
      <c r="D129" s="2406"/>
      <c r="E129" s="2406"/>
      <c r="F129" s="2406"/>
      <c r="G129" s="2406"/>
      <c r="H129" s="2406"/>
      <c r="I129" s="2406"/>
      <c r="J129" s="2406"/>
      <c r="K129" s="2406"/>
      <c r="L129" s="2406"/>
      <c r="M129" s="2406"/>
      <c r="O129" s="82">
        <f t="shared" si="20"/>
        <v>0</v>
      </c>
      <c r="S129" s="46"/>
      <c r="T129" s="46"/>
      <c r="U129" s="46">
        <f t="shared" si="18"/>
        <v>16</v>
      </c>
      <c r="V129" s="46">
        <f t="shared" si="23"/>
        <v>0</v>
      </c>
      <c r="W129" s="46">
        <f t="shared" si="24"/>
        <v>0</v>
      </c>
      <c r="X129" s="46">
        <f t="shared" si="25"/>
        <v>0</v>
      </c>
      <c r="Y129" s="46">
        <v>113</v>
      </c>
      <c r="Z129" s="762" t="str">
        <f>IFERROR(IF(AND(AC110="Rental",'E-Feasibility Analysis'!Y204=1,'E-Feasibility Analysis'!Z204=1),"Feasibility Analysis - An explanation for replacement reserves being outside of the benchmark has not been provided."," ")," ")</f>
        <v xml:space="preserve"> </v>
      </c>
      <c r="AA129" s="82">
        <v>113</v>
      </c>
    </row>
    <row r="130" spans="2:55" s="82" customFormat="1" ht="14.25" customHeight="1">
      <c r="B130" s="2406" t="str">
        <f t="shared" si="22"/>
        <v xml:space="preserve"> </v>
      </c>
      <c r="C130" s="2406"/>
      <c r="D130" s="2406"/>
      <c r="E130" s="2406"/>
      <c r="F130" s="2406"/>
      <c r="G130" s="2406"/>
      <c r="H130" s="2406"/>
      <c r="I130" s="2406"/>
      <c r="J130" s="2406"/>
      <c r="K130" s="2406"/>
      <c r="L130" s="2406"/>
      <c r="M130" s="2406"/>
      <c r="O130" s="82">
        <f t="shared" si="20"/>
        <v>0</v>
      </c>
      <c r="S130" s="46"/>
      <c r="T130" s="46"/>
      <c r="U130" s="46">
        <f t="shared" si="18"/>
        <v>16</v>
      </c>
      <c r="V130" s="46">
        <f t="shared" si="23"/>
        <v>0</v>
      </c>
      <c r="W130" s="46">
        <f t="shared" si="24"/>
        <v>0</v>
      </c>
      <c r="X130" s="46">
        <f t="shared" si="25"/>
        <v>0</v>
      </c>
      <c r="Y130" s="46">
        <v>114</v>
      </c>
      <c r="Z130" s="762" t="str">
        <f>IFERROR(IF(AND(AC110="Rental",'E-Feasibility Analysis'!Y211=1,'E-Feasibility Analysis'!Z211=1),"Feasibility Analysis - An explanation for operating reserves being outside of the benchmark has not been provided."," ")," ")</f>
        <v xml:space="preserve"> </v>
      </c>
      <c r="AA130" s="82">
        <v>114</v>
      </c>
    </row>
    <row r="131" spans="2:55" s="82" customFormat="1" ht="14.25" customHeight="1">
      <c r="B131" s="2406" t="str">
        <f t="shared" si="22"/>
        <v xml:space="preserve"> </v>
      </c>
      <c r="C131" s="2406"/>
      <c r="D131" s="2406"/>
      <c r="E131" s="2406"/>
      <c r="F131" s="2406"/>
      <c r="G131" s="2406"/>
      <c r="H131" s="2406"/>
      <c r="I131" s="2406"/>
      <c r="J131" s="2406"/>
      <c r="K131" s="2406"/>
      <c r="L131" s="2406"/>
      <c r="M131" s="2406"/>
      <c r="O131" s="82">
        <f t="shared" si="20"/>
        <v>0</v>
      </c>
      <c r="P131" s="763"/>
      <c r="S131" s="46"/>
      <c r="T131" s="46"/>
      <c r="U131" s="46">
        <f t="shared" si="18"/>
        <v>16</v>
      </c>
      <c r="V131" s="46">
        <f t="shared" si="23"/>
        <v>0</v>
      </c>
      <c r="W131" s="46">
        <f t="shared" si="24"/>
        <v>0</v>
      </c>
      <c r="X131" s="46">
        <f t="shared" si="25"/>
        <v>0</v>
      </c>
      <c r="Y131" s="46">
        <v>115</v>
      </c>
      <c r="Z131" s="762" t="str">
        <f>IFERROR(IF(AND(AC110="Rental",'E-Feasibility Analysis'!Y218=1,'E-Feasibility Analysis'!Z218=1),"Feasibility Analysis - An explanation for the annual rent increase being outside of the benchmark has not been provided."," ")," ")</f>
        <v xml:space="preserve"> </v>
      </c>
      <c r="AA131" s="82">
        <v>115</v>
      </c>
    </row>
    <row r="132" spans="2:55" s="82" customFormat="1" ht="14.25" customHeight="1">
      <c r="B132" s="2406" t="str">
        <f t="shared" si="22"/>
        <v xml:space="preserve"> </v>
      </c>
      <c r="C132" s="2406"/>
      <c r="D132" s="2406"/>
      <c r="E132" s="2406"/>
      <c r="F132" s="2406"/>
      <c r="G132" s="2406"/>
      <c r="H132" s="2406"/>
      <c r="I132" s="2406"/>
      <c r="J132" s="2406"/>
      <c r="K132" s="2406"/>
      <c r="L132" s="2406"/>
      <c r="M132" s="2406"/>
      <c r="O132" s="82">
        <f t="shared" si="20"/>
        <v>0</v>
      </c>
      <c r="S132" s="46"/>
      <c r="T132" s="46"/>
      <c r="U132" s="46">
        <f t="shared" si="18"/>
        <v>16</v>
      </c>
      <c r="V132" s="46">
        <f t="shared" si="23"/>
        <v>0</v>
      </c>
      <c r="W132" s="46">
        <f t="shared" si="24"/>
        <v>0</v>
      </c>
      <c r="X132" s="46">
        <f t="shared" si="25"/>
        <v>0</v>
      </c>
      <c r="Y132" s="46">
        <v>116</v>
      </c>
      <c r="Z132" s="762" t="str">
        <f>IFERROR(IF(AND(AC110="Rental",'E-Feasibility Analysis'!Y228=1,'E-Feasibility Analysis'!Z228=1),"Feasibility Analysis - An explanation for the annual operating expense increase being outside of the benchmark has not been provided."," ")," ")</f>
        <v xml:space="preserve"> </v>
      </c>
      <c r="AA132" s="82">
        <v>116</v>
      </c>
    </row>
    <row r="133" spans="2:55" s="82" customFormat="1" ht="14.25" customHeight="1">
      <c r="B133" s="2406" t="str">
        <f t="shared" si="22"/>
        <v xml:space="preserve"> </v>
      </c>
      <c r="C133" s="2406"/>
      <c r="D133" s="2406"/>
      <c r="E133" s="2406"/>
      <c r="F133" s="2406"/>
      <c r="G133" s="2406"/>
      <c r="H133" s="2406"/>
      <c r="I133" s="2406"/>
      <c r="J133" s="2406"/>
      <c r="K133" s="2406"/>
      <c r="L133" s="2406"/>
      <c r="M133" s="2406"/>
      <c r="N133" s="763"/>
      <c r="O133" s="82">
        <f t="shared" si="20"/>
        <v>0</v>
      </c>
      <c r="S133" s="46"/>
      <c r="T133" s="46"/>
      <c r="U133" s="46">
        <f t="shared" si="18"/>
        <v>4</v>
      </c>
      <c r="V133" s="46">
        <f t="shared" si="23"/>
        <v>12</v>
      </c>
      <c r="W133" s="46">
        <f t="shared" si="24"/>
        <v>1</v>
      </c>
      <c r="X133" s="46">
        <f t="shared" si="25"/>
        <v>1</v>
      </c>
      <c r="Y133" s="46">
        <v>117</v>
      </c>
      <c r="Z133" s="762" t="str">
        <f>IFERROR(IF(AE148=0,"Feasibility Analysis - A state has not been selected for the RSMeans cost reasonableness benchmark."," ")," ")</f>
        <v>Feasibility Analysis - A state has not been selected for the RSMeans cost reasonableness benchmark.</v>
      </c>
      <c r="AA133" s="82">
        <v>117</v>
      </c>
    </row>
    <row r="134" spans="2:55" s="82" customFormat="1" ht="14.25" customHeight="1">
      <c r="B134" s="2406" t="str">
        <f t="shared" si="22"/>
        <v xml:space="preserve"> </v>
      </c>
      <c r="C134" s="2406"/>
      <c r="D134" s="2406"/>
      <c r="E134" s="2406"/>
      <c r="F134" s="2406"/>
      <c r="G134" s="2406"/>
      <c r="H134" s="2406"/>
      <c r="I134" s="2406"/>
      <c r="J134" s="2406"/>
      <c r="K134" s="2406"/>
      <c r="L134" s="2406"/>
      <c r="M134" s="2406"/>
      <c r="O134" s="82">
        <f t="shared" si="20"/>
        <v>0</v>
      </c>
      <c r="S134" s="46"/>
      <c r="T134" s="46"/>
      <c r="U134" s="46">
        <f t="shared" si="18"/>
        <v>16</v>
      </c>
      <c r="V134" s="46">
        <f t="shared" si="23"/>
        <v>0</v>
      </c>
      <c r="W134" s="46">
        <f t="shared" si="24"/>
        <v>0</v>
      </c>
      <c r="X134" s="46">
        <f t="shared" si="25"/>
        <v>0</v>
      </c>
      <c r="Y134" s="46">
        <v>118</v>
      </c>
      <c r="Z134" s="762" t="str">
        <f>IFERROR(IF(AE149=0,"Feasibility Analysis - The RSMeans zone has not been selected for the RSMeans cost reasonableness benchmark."," ")," ")</f>
        <v xml:space="preserve"> </v>
      </c>
      <c r="AA134" s="82">
        <v>118</v>
      </c>
    </row>
    <row r="135" spans="2:55" s="82" customFormat="1" ht="14.25" customHeight="1">
      <c r="B135" s="2406" t="str">
        <f t="shared" si="22"/>
        <v xml:space="preserve"> </v>
      </c>
      <c r="C135" s="2406"/>
      <c r="D135" s="2406"/>
      <c r="E135" s="2406"/>
      <c r="F135" s="2406"/>
      <c r="G135" s="2406"/>
      <c r="H135" s="2406"/>
      <c r="I135" s="2406"/>
      <c r="J135" s="2406"/>
      <c r="K135" s="2406"/>
      <c r="L135" s="2406"/>
      <c r="M135" s="2406"/>
      <c r="O135" s="82">
        <f t="shared" si="20"/>
        <v>0</v>
      </c>
      <c r="S135" s="46"/>
      <c r="T135" s="46"/>
      <c r="U135" s="46">
        <f t="shared" si="18"/>
        <v>3</v>
      </c>
      <c r="V135" s="46">
        <f t="shared" si="23"/>
        <v>13</v>
      </c>
      <c r="W135" s="46">
        <f t="shared" si="24"/>
        <v>1</v>
      </c>
      <c r="X135" s="46">
        <f t="shared" si="25"/>
        <v>1</v>
      </c>
      <c r="Y135" s="46">
        <v>119</v>
      </c>
      <c r="Z135" s="762" t="str">
        <f>IFERROR(IF(AE150=0,"Feasibility Analysis - The housing type has not been selected for the RSMeans cost reasonableness benchmark."," ")," ")</f>
        <v>Feasibility Analysis - The housing type has not been selected for the RSMeans cost reasonableness benchmark.</v>
      </c>
      <c r="AA135" s="82">
        <v>119</v>
      </c>
    </row>
    <row r="136" spans="2:55" s="82" customFormat="1" ht="14.25" customHeight="1">
      <c r="B136" s="2406" t="str">
        <f t="shared" si="22"/>
        <v xml:space="preserve"> </v>
      </c>
      <c r="C136" s="2406"/>
      <c r="D136" s="2406"/>
      <c r="E136" s="2406"/>
      <c r="F136" s="2406"/>
      <c r="G136" s="2406"/>
      <c r="H136" s="2406"/>
      <c r="I136" s="2406"/>
      <c r="J136" s="2406"/>
      <c r="K136" s="2406"/>
      <c r="L136" s="2406"/>
      <c r="M136" s="2406"/>
      <c r="O136" s="82">
        <f t="shared" si="20"/>
        <v>0</v>
      </c>
      <c r="S136" s="46"/>
      <c r="T136" s="46"/>
      <c r="U136" s="46">
        <f t="shared" si="18"/>
        <v>16</v>
      </c>
      <c r="V136" s="46">
        <f t="shared" si="23"/>
        <v>0</v>
      </c>
      <c r="W136" s="46">
        <f t="shared" si="24"/>
        <v>0</v>
      </c>
      <c r="X136" s="46">
        <f t="shared" si="25"/>
        <v>0</v>
      </c>
      <c r="Y136" s="46">
        <v>120</v>
      </c>
      <c r="Z136" s="762" t="str">
        <f>IFERROR(IF(AE151="Select One…","Feasibility Analysis - Construction, rehabilitation, or acquisition has not been selected for the hard cost contingency cost reasonableness benchmark."," ")," ")</f>
        <v xml:space="preserve"> </v>
      </c>
      <c r="AA136" s="82">
        <v>120</v>
      </c>
    </row>
    <row r="137" spans="2:55" s="82" customFormat="1" ht="14.25" customHeight="1">
      <c r="B137" s="2406" t="str">
        <f t="shared" si="22"/>
        <v xml:space="preserve"> </v>
      </c>
      <c r="C137" s="2406"/>
      <c r="D137" s="2406"/>
      <c r="E137" s="2406"/>
      <c r="F137" s="2406"/>
      <c r="G137" s="2406"/>
      <c r="H137" s="2406"/>
      <c r="I137" s="2406"/>
      <c r="J137" s="2406"/>
      <c r="K137" s="2406"/>
      <c r="L137" s="2406"/>
      <c r="M137" s="2406"/>
      <c r="O137" s="82">
        <f t="shared" si="20"/>
        <v>0</v>
      </c>
      <c r="S137" s="46"/>
      <c r="T137" s="46"/>
      <c r="U137" s="46">
        <f t="shared" si="18"/>
        <v>2</v>
      </c>
      <c r="V137" s="46">
        <f t="shared" si="23"/>
        <v>14</v>
      </c>
      <c r="W137" s="46">
        <f t="shared" si="24"/>
        <v>1</v>
      </c>
      <c r="X137" s="46">
        <f t="shared" si="25"/>
        <v>1</v>
      </c>
      <c r="Y137" s="46">
        <v>121</v>
      </c>
      <c r="Z137" s="762" t="str">
        <f>IFERROR(IF(AE152="Select One…","Feasibility Analysis - Construction, rehabilitation, or tax credit has not been selected for the soft cost reasonableness benchmark."," ")," ")</f>
        <v>Feasibility Analysis - Construction, rehabilitation, or tax credit has not been selected for the soft cost reasonableness benchmark.</v>
      </c>
      <c r="AA137" s="82">
        <v>121</v>
      </c>
    </row>
    <row r="138" spans="2:55" s="82" customFormat="1" ht="14.25" customHeight="1">
      <c r="B138" s="2406" t="str">
        <f t="shared" si="22"/>
        <v xml:space="preserve"> </v>
      </c>
      <c r="C138" s="2406"/>
      <c r="D138" s="2406"/>
      <c r="E138" s="2406"/>
      <c r="F138" s="2406"/>
      <c r="G138" s="2406"/>
      <c r="H138" s="2406"/>
      <c r="I138" s="2406"/>
      <c r="J138" s="2406"/>
      <c r="K138" s="2406"/>
      <c r="L138" s="2406"/>
      <c r="M138" s="2406"/>
      <c r="O138" s="82">
        <f t="shared" si="20"/>
        <v>0</v>
      </c>
      <c r="S138" s="46"/>
      <c r="T138" s="46"/>
      <c r="U138" s="46">
        <f t="shared" si="18"/>
        <v>16</v>
      </c>
      <c r="V138" s="46">
        <f t="shared" si="23"/>
        <v>0</v>
      </c>
      <c r="W138" s="46">
        <f t="shared" si="24"/>
        <v>0</v>
      </c>
      <c r="X138" s="46">
        <f t="shared" si="25"/>
        <v>0</v>
      </c>
      <c r="Y138" s="46">
        <v>122</v>
      </c>
      <c r="Z138" s="762" t="str">
        <f>IFERROR(IF(AND('E-Feasibility Analysis'!Y194=1,'E-Feasibility Analysis'!Z194=1),"Feasibility Analysis - An explanation for the project's net cash flow exceeding the benchmark has not been provided."," ")," ")</f>
        <v xml:space="preserve"> </v>
      </c>
      <c r="AA138" s="82">
        <v>122</v>
      </c>
    </row>
    <row r="139" spans="2:55" s="82" customFormat="1" ht="14.25" customHeight="1">
      <c r="B139" s="2406" t="str">
        <f t="shared" si="22"/>
        <v xml:space="preserve"> </v>
      </c>
      <c r="C139" s="2406"/>
      <c r="D139" s="2406"/>
      <c r="E139" s="2406"/>
      <c r="F139" s="2406"/>
      <c r="G139" s="2406"/>
      <c r="H139" s="2406"/>
      <c r="I139" s="2406"/>
      <c r="J139" s="2406"/>
      <c r="K139" s="2406"/>
      <c r="L139" s="2406"/>
      <c r="M139" s="2406"/>
      <c r="O139" s="82">
        <f t="shared" si="20"/>
        <v>0</v>
      </c>
      <c r="S139" s="46"/>
      <c r="T139" s="46"/>
      <c r="U139" s="46">
        <f t="shared" si="18"/>
        <v>16</v>
      </c>
      <c r="V139" s="46">
        <f t="shared" si="23"/>
        <v>0</v>
      </c>
      <c r="W139" s="46">
        <f t="shared" si="24"/>
        <v>0</v>
      </c>
      <c r="X139" s="46">
        <f t="shared" si="25"/>
        <v>0</v>
      </c>
      <c r="Y139" s="46">
        <v>123</v>
      </c>
      <c r="Z139" s="762" t="str">
        <f>IFERROR(IF(AND(AE127="Yes",#REF!=1),"Tenant Income Verification (TIV) - The name of the individual completing the TIV form has not been provided."," ")," ")</f>
        <v xml:space="preserve"> </v>
      </c>
      <c r="AA139" s="82">
        <v>123</v>
      </c>
    </row>
    <row r="140" spans="2:55" s="82" customFormat="1" ht="14.25" customHeight="1">
      <c r="B140" s="2406" t="str">
        <f t="shared" si="22"/>
        <v xml:space="preserve"> </v>
      </c>
      <c r="C140" s="2406"/>
      <c r="D140" s="2406"/>
      <c r="E140" s="2406"/>
      <c r="F140" s="2406"/>
      <c r="G140" s="2406"/>
      <c r="H140" s="2406"/>
      <c r="I140" s="2406"/>
      <c r="J140" s="2406"/>
      <c r="K140" s="2406"/>
      <c r="L140" s="2406"/>
      <c r="M140" s="2406"/>
      <c r="O140" s="82">
        <f t="shared" si="20"/>
        <v>0</v>
      </c>
      <c r="S140" s="46"/>
      <c r="T140" s="46"/>
      <c r="U140" s="46">
        <f t="shared" si="18"/>
        <v>16</v>
      </c>
      <c r="V140" s="46">
        <f t="shared" si="23"/>
        <v>0</v>
      </c>
      <c r="W140" s="46">
        <f t="shared" si="24"/>
        <v>0</v>
      </c>
      <c r="X140" s="46">
        <f t="shared" si="25"/>
        <v>0</v>
      </c>
      <c r="Y140" s="46">
        <v>124</v>
      </c>
      <c r="Z140" s="762" t="str">
        <f>IFERROR(IF(AND(AE127="Yes",#REF!=1),"Tenant Income Verification (TIV) - The phone number for the individual completing the TIV form has not been provided."," ")," ")</f>
        <v xml:space="preserve"> </v>
      </c>
      <c r="AA140" s="82">
        <v>124</v>
      </c>
      <c r="AL140" s="46" t="s">
        <v>124</v>
      </c>
      <c r="AM140" s="46" t="s">
        <v>60</v>
      </c>
      <c r="AN140" s="46" t="s">
        <v>153</v>
      </c>
      <c r="AO140" s="46" t="s">
        <v>61</v>
      </c>
      <c r="AP140" s="46" t="s">
        <v>49</v>
      </c>
      <c r="AQ140" s="46" t="s">
        <v>931</v>
      </c>
      <c r="AR140" s="46" t="s">
        <v>711</v>
      </c>
      <c r="AS140" s="46"/>
      <c r="AT140" s="46"/>
      <c r="AU140" s="46" t="s">
        <v>65</v>
      </c>
      <c r="AV140" s="46" t="s">
        <v>66</v>
      </c>
      <c r="AW140" s="46" t="s">
        <v>67</v>
      </c>
      <c r="AX140" s="46" t="s">
        <v>68</v>
      </c>
    </row>
    <row r="141" spans="2:55" s="82" customFormat="1" ht="14.25" customHeight="1">
      <c r="B141" s="2406" t="str">
        <f t="shared" si="22"/>
        <v xml:space="preserve"> </v>
      </c>
      <c r="C141" s="2406"/>
      <c r="D141" s="2406"/>
      <c r="E141" s="2406"/>
      <c r="F141" s="2406"/>
      <c r="G141" s="2406"/>
      <c r="H141" s="2406"/>
      <c r="I141" s="2406"/>
      <c r="J141" s="2406"/>
      <c r="K141" s="2406"/>
      <c r="L141" s="2406"/>
      <c r="M141" s="2406"/>
      <c r="O141" s="82">
        <f t="shared" si="20"/>
        <v>0</v>
      </c>
      <c r="S141" s="46"/>
      <c r="T141" s="46"/>
      <c r="U141" s="46">
        <f t="shared" si="18"/>
        <v>16</v>
      </c>
      <c r="V141" s="46">
        <f t="shared" si="23"/>
        <v>0</v>
      </c>
      <c r="W141" s="46">
        <f t="shared" si="24"/>
        <v>0</v>
      </c>
      <c r="X141" s="46">
        <f t="shared" si="25"/>
        <v>0</v>
      </c>
      <c r="Y141" s="46">
        <v>125</v>
      </c>
      <c r="Z141" s="762" t="str">
        <f>IFERROR(IF(AND(AE127="Yes",#REF!=1),"Tenant Income Verification (TIV) - The email for the individual completing the TIV form has not been provided."," ")," ")</f>
        <v xml:space="preserve"> </v>
      </c>
      <c r="AA141" s="82">
        <v>125</v>
      </c>
      <c r="AB141" s="82" t="str">
        <f>IF('Project Info and Instructions'!T8=2,"Sponsor Provided Financing","Sponsor Provided Financing - N/A, Required for Owner-occupied Projects with Sponsor Provided Financing")</f>
        <v>Sponsor Provided Financing - N/A, Required for Owner-occupied Projects with Sponsor Provided Financing</v>
      </c>
      <c r="AL141" s="46" t="e">
        <f>COUNTIF(#REF!,"&lt;&gt;")</f>
        <v>#REF!</v>
      </c>
      <c r="AM141" s="46" t="e">
        <f>COUNTIFS(#REF!,"&lt;&gt;",#REF!,"&lt;&gt;"&amp;#REF!)</f>
        <v>#REF!</v>
      </c>
      <c r="AN141" s="46" t="e">
        <f>COUNTIF(#REF!,"&lt;&gt;")</f>
        <v>#REF!</v>
      </c>
      <c r="AO141" s="46" t="e">
        <f>COUNTIF(#REF!,"&lt;&gt;")</f>
        <v>#REF!</v>
      </c>
      <c r="AP141" s="46" t="e">
        <f>COUNTIF(#REF!,"&lt;&gt;")</f>
        <v>#REF!</v>
      </c>
      <c r="AQ141" s="46" t="e">
        <f>COUNTIFS(#REF!,"&lt;&gt;",#REF!,"&lt;&gt;"&amp;#REF!)</f>
        <v>#REF!</v>
      </c>
      <c r="AR141" s="46" t="e">
        <f>COUNTIF(#REF!,"&lt;&gt;")</f>
        <v>#REF!</v>
      </c>
      <c r="AS141" s="46"/>
      <c r="AT141" s="775"/>
      <c r="AU141" s="46" t="e">
        <f>COUNTIFS(#REF!,"&lt;&gt;",#REF!,"&lt;&gt;"&amp;#REF!)</f>
        <v>#REF!</v>
      </c>
      <c r="AV141" s="46" t="e">
        <f>COUNTIFS(#REF!,"&lt;&gt;",#REF!,"&lt;&gt;"&amp;#REF!)</f>
        <v>#REF!</v>
      </c>
      <c r="AW141" s="46" t="e">
        <f>COUNTIFS(#REF!,"&lt;&gt;",#REF!,"&lt;&gt;"&amp;#REF!)</f>
        <v>#REF!</v>
      </c>
      <c r="AX141" s="46" t="e">
        <f>COUNTIFS(#REF!,"&lt;&gt;",#REF!,"&lt;&gt;"&amp;#REF!)</f>
        <v>#REF!</v>
      </c>
      <c r="AY141" s="46"/>
      <c r="AZ141" s="82" t="e">
        <f>MAX(AL141:AY141)</f>
        <v>#REF!</v>
      </c>
      <c r="BA141" s="82" t="e">
        <f>AZ141-#REF!</f>
        <v>#REF!</v>
      </c>
      <c r="BC141" s="82" t="e">
        <f>BA141</f>
        <v>#REF!</v>
      </c>
    </row>
    <row r="142" spans="2:55" s="82" customFormat="1" ht="14.25" customHeight="1">
      <c r="B142" s="2406" t="str">
        <f t="shared" si="22"/>
        <v xml:space="preserve"> </v>
      </c>
      <c r="C142" s="2406"/>
      <c r="D142" s="2406"/>
      <c r="E142" s="2406"/>
      <c r="F142" s="2406"/>
      <c r="G142" s="2406"/>
      <c r="H142" s="2406"/>
      <c r="I142" s="2406"/>
      <c r="J142" s="2406"/>
      <c r="K142" s="2406"/>
      <c r="L142" s="2406"/>
      <c r="M142" s="2406"/>
      <c r="O142" s="82">
        <f t="shared" si="20"/>
        <v>0</v>
      </c>
      <c r="S142" s="46"/>
      <c r="T142" s="46"/>
      <c r="U142" s="46">
        <f t="shared" si="18"/>
        <v>16</v>
      </c>
      <c r="V142" s="46">
        <f t="shared" si="23"/>
        <v>0</v>
      </c>
      <c r="W142" s="46">
        <f t="shared" si="24"/>
        <v>0</v>
      </c>
      <c r="X142" s="46">
        <f t="shared" si="25"/>
        <v>0</v>
      </c>
      <c r="Y142" s="46">
        <v>126</v>
      </c>
      <c r="Z142" s="762" t="str">
        <f>IFERROR(IF(AND(AE127="Yes",#REF!=1),"Tenant Income Verification (TIV) - The as of date on the TIV form has not been provided."," ")," ")</f>
        <v xml:space="preserve"> </v>
      </c>
      <c r="AA142" s="82">
        <v>126</v>
      </c>
      <c r="AM142" s="776"/>
      <c r="AR142" s="46" t="e">
        <f>COUNTIF(#REF!,"&gt;"&amp;0)</f>
        <v>#REF!</v>
      </c>
    </row>
    <row r="143" spans="2:55" s="82" customFormat="1" ht="14.25" customHeight="1">
      <c r="B143" s="2406" t="str">
        <f t="shared" si="22"/>
        <v xml:space="preserve"> </v>
      </c>
      <c r="C143" s="2406"/>
      <c r="D143" s="2406"/>
      <c r="E143" s="2406"/>
      <c r="F143" s="2406"/>
      <c r="G143" s="2406"/>
      <c r="H143" s="2406"/>
      <c r="I143" s="2406"/>
      <c r="J143" s="2406"/>
      <c r="K143" s="2406"/>
      <c r="L143" s="2406"/>
      <c r="M143" s="2406"/>
      <c r="O143" s="82">
        <f t="shared" si="20"/>
        <v>0</v>
      </c>
      <c r="S143" s="46"/>
      <c r="T143" s="46"/>
      <c r="U143" s="46">
        <f t="shared" si="18"/>
        <v>16</v>
      </c>
      <c r="V143" s="46">
        <f t="shared" si="23"/>
        <v>0</v>
      </c>
      <c r="W143" s="46">
        <f t="shared" si="24"/>
        <v>0</v>
      </c>
      <c r="X143" s="46">
        <f t="shared" si="25"/>
        <v>0</v>
      </c>
      <c r="Y143" s="46">
        <v>127</v>
      </c>
      <c r="Z143" s="762" t="str">
        <f>IFERROR(IF(AND(AE127="Yes",#REF!=1),"Tenant Income Verification (TIV) - Total units indicated on the TIV does not match total units indicated on the Rent Schedule."," ")," ")</f>
        <v xml:space="preserve"> </v>
      </c>
      <c r="AA143" s="82">
        <v>127</v>
      </c>
      <c r="AM143" s="776"/>
    </row>
    <row r="144" spans="2:55" s="82" customFormat="1" ht="14.25" customHeight="1">
      <c r="B144" s="2406" t="str">
        <f t="shared" si="22"/>
        <v xml:space="preserve"> </v>
      </c>
      <c r="C144" s="2406"/>
      <c r="D144" s="2406"/>
      <c r="E144" s="2406"/>
      <c r="F144" s="2406"/>
      <c r="G144" s="2406"/>
      <c r="H144" s="2406"/>
      <c r="I144" s="2406"/>
      <c r="J144" s="2406"/>
      <c r="K144" s="2406"/>
      <c r="L144" s="2406"/>
      <c r="M144" s="2406"/>
      <c r="O144" s="82">
        <f t="shared" si="20"/>
        <v>0</v>
      </c>
      <c r="S144" s="46"/>
      <c r="T144" s="46"/>
      <c r="U144" s="46">
        <f t="shared" si="18"/>
        <v>16</v>
      </c>
      <c r="V144" s="46">
        <f t="shared" si="23"/>
        <v>0</v>
      </c>
      <c r="W144" s="46">
        <f t="shared" si="24"/>
        <v>0</v>
      </c>
      <c r="X144" s="46">
        <f t="shared" si="25"/>
        <v>0</v>
      </c>
      <c r="Y144" s="46">
        <v>128</v>
      </c>
      <c r="Z144" s="762" t="str">
        <f>IFERROR(IF(AND(AE127="Yes",AL141&lt;AZ141),"Tenant Income Verification (TIV) - A unit number has not been provided for all listed tenants/vacant units."," ")," ")</f>
        <v xml:space="preserve"> </v>
      </c>
      <c r="AA144" s="82">
        <v>128</v>
      </c>
    </row>
    <row r="145" spans="2:34" s="82" customFormat="1" ht="14.25" customHeight="1">
      <c r="B145" s="2406" t="str">
        <f t="shared" si="22"/>
        <v xml:space="preserve"> </v>
      </c>
      <c r="C145" s="2406"/>
      <c r="D145" s="2406"/>
      <c r="E145" s="2406"/>
      <c r="F145" s="2406"/>
      <c r="G145" s="2406"/>
      <c r="H145" s="2406"/>
      <c r="I145" s="2406"/>
      <c r="J145" s="2406"/>
      <c r="K145" s="2406"/>
      <c r="L145" s="2406"/>
      <c r="M145" s="2406"/>
      <c r="O145" s="82">
        <f t="shared" si="20"/>
        <v>0</v>
      </c>
      <c r="S145" s="46"/>
      <c r="T145" s="46"/>
      <c r="U145" s="46">
        <f t="shared" ref="U145:U173" si="26">RANK(V145,$V$17:$V$190)</f>
        <v>16</v>
      </c>
      <c r="V145" s="46">
        <f t="shared" si="23"/>
        <v>0</v>
      </c>
      <c r="W145" s="46">
        <f t="shared" si="24"/>
        <v>0</v>
      </c>
      <c r="X145" s="46">
        <f t="shared" si="25"/>
        <v>0</v>
      </c>
      <c r="Y145" s="46">
        <v>129</v>
      </c>
      <c r="Z145" s="762" t="str">
        <f>IFERROR(IF(AND(AE127="Yes",AN141&lt;$AZ$141),"Tenant Income Verification (TIV) - Number of bedrooms has not been provided for all listed units."," ")," ")</f>
        <v xml:space="preserve"> </v>
      </c>
      <c r="AA145" s="82">
        <v>129</v>
      </c>
    </row>
    <row r="146" spans="2:34" s="82" customFormat="1" ht="14.25" customHeight="1">
      <c r="B146" s="2406" t="str">
        <f t="shared" si="22"/>
        <v xml:space="preserve"> </v>
      </c>
      <c r="C146" s="2406"/>
      <c r="D146" s="2406"/>
      <c r="E146" s="2406"/>
      <c r="F146" s="2406"/>
      <c r="G146" s="2406"/>
      <c r="H146" s="2406"/>
      <c r="I146" s="2406"/>
      <c r="J146" s="2406"/>
      <c r="K146" s="2406"/>
      <c r="L146" s="2406"/>
      <c r="M146" s="2406"/>
      <c r="O146" s="82">
        <f t="shared" si="20"/>
        <v>0</v>
      </c>
      <c r="S146" s="46"/>
      <c r="T146" s="46"/>
      <c r="U146" s="46">
        <f t="shared" si="26"/>
        <v>16</v>
      </c>
      <c r="V146" s="46">
        <f t="shared" si="23"/>
        <v>0</v>
      </c>
      <c r="W146" s="46">
        <f t="shared" si="24"/>
        <v>0</v>
      </c>
      <c r="X146" s="46">
        <f t="shared" si="25"/>
        <v>0</v>
      </c>
      <c r="Y146" s="46">
        <v>130</v>
      </c>
      <c r="Z146" s="762" t="str">
        <f>IFERROR(IF(AND(AE127="Yes",AM141&lt;$BA$141),"Tenant Income Verification (TIV) - A household name has not been provided for all listed non-vacant units"," ")," ")</f>
        <v xml:space="preserve"> </v>
      </c>
      <c r="AA146" s="82">
        <v>130</v>
      </c>
    </row>
    <row r="147" spans="2:34" s="82" customFormat="1" ht="14.25" customHeight="1">
      <c r="B147" s="2406" t="str">
        <f t="shared" si="22"/>
        <v xml:space="preserve"> </v>
      </c>
      <c r="C147" s="2406"/>
      <c r="D147" s="2406"/>
      <c r="E147" s="2406"/>
      <c r="F147" s="2406"/>
      <c r="G147" s="2406"/>
      <c r="H147" s="2406"/>
      <c r="I147" s="2406"/>
      <c r="J147" s="2406"/>
      <c r="K147" s="2406"/>
      <c r="L147" s="2406"/>
      <c r="M147" s="2406"/>
      <c r="O147" s="82">
        <f t="shared" si="20"/>
        <v>0</v>
      </c>
      <c r="S147" s="46"/>
      <c r="T147" s="46"/>
      <c r="U147" s="46">
        <f t="shared" si="26"/>
        <v>16</v>
      </c>
      <c r="V147" s="46">
        <f t="shared" si="23"/>
        <v>0</v>
      </c>
      <c r="W147" s="46">
        <f t="shared" si="24"/>
        <v>0</v>
      </c>
      <c r="X147" s="46">
        <f t="shared" si="25"/>
        <v>0</v>
      </c>
      <c r="Y147" s="46">
        <v>131</v>
      </c>
      <c r="Z147" s="762" t="str">
        <f>IFERROR(IF(AND(AE127="Yes",AP141&lt;$AZ$141),"Tenant Income Verification (TIV) - The unit rent has not been provided for all listed units"," ")," ")</f>
        <v xml:space="preserve"> </v>
      </c>
      <c r="AA147" s="82">
        <v>131</v>
      </c>
    </row>
    <row r="148" spans="2:34" s="82" customFormat="1" ht="14.25" customHeight="1">
      <c r="B148" s="2406" t="str">
        <f t="shared" si="22"/>
        <v xml:space="preserve"> </v>
      </c>
      <c r="C148" s="2406"/>
      <c r="D148" s="2406"/>
      <c r="E148" s="2406"/>
      <c r="F148" s="2406"/>
      <c r="G148" s="2406"/>
      <c r="H148" s="2406"/>
      <c r="I148" s="2406"/>
      <c r="J148" s="2406"/>
      <c r="K148" s="2406"/>
      <c r="L148" s="2406"/>
      <c r="M148" s="2406"/>
      <c r="O148" s="82">
        <f t="shared" si="20"/>
        <v>0</v>
      </c>
      <c r="S148" s="46"/>
      <c r="T148" s="46"/>
      <c r="U148" s="46">
        <f t="shared" si="26"/>
        <v>16</v>
      </c>
      <c r="V148" s="46">
        <f t="shared" si="23"/>
        <v>0</v>
      </c>
      <c r="W148" s="46">
        <f t="shared" si="24"/>
        <v>0</v>
      </c>
      <c r="X148" s="46">
        <f t="shared" si="25"/>
        <v>0</v>
      </c>
      <c r="Y148" s="46">
        <v>132</v>
      </c>
      <c r="Z148" s="762" t="str">
        <f>IFERROR(IF(AND(AE127="Yes",AQ141&lt;$BA$141),"Tenant Income Verification (TIV) - The tenant paid rent has not been provided for all listed units (input $0 if none)."," ")," ")</f>
        <v xml:space="preserve"> </v>
      </c>
      <c r="AA148" s="82">
        <v>132</v>
      </c>
      <c r="AE148" s="82">
        <f>'E-Feasibility Analysis'!$L$92</f>
        <v>0</v>
      </c>
    </row>
    <row r="149" spans="2:34" s="82" customFormat="1" ht="13.5" customHeight="1">
      <c r="B149" s="2406" t="str">
        <f t="shared" si="22"/>
        <v xml:space="preserve"> </v>
      </c>
      <c r="C149" s="2406"/>
      <c r="D149" s="2406"/>
      <c r="E149" s="2406"/>
      <c r="F149" s="2406"/>
      <c r="G149" s="2406"/>
      <c r="H149" s="2406"/>
      <c r="I149" s="2406"/>
      <c r="J149" s="2406"/>
      <c r="K149" s="2406"/>
      <c r="L149" s="2406"/>
      <c r="M149" s="2406"/>
      <c r="O149" s="82">
        <f t="shared" si="20"/>
        <v>0</v>
      </c>
      <c r="S149" s="46"/>
      <c r="T149" s="46"/>
      <c r="U149" s="46">
        <f t="shared" si="26"/>
        <v>16</v>
      </c>
      <c r="V149" s="46">
        <f t="shared" si="23"/>
        <v>0</v>
      </c>
      <c r="W149" s="46">
        <f t="shared" si="24"/>
        <v>0</v>
      </c>
      <c r="X149" s="46">
        <f t="shared" si="25"/>
        <v>0</v>
      </c>
      <c r="Y149" s="46">
        <v>133</v>
      </c>
      <c r="Z149" s="762" t="str">
        <f>IFERROR(IF(AND(AE127="Yes",AR141&lt;AR142),"Tenant Income Verification (TIV) - The type of subsidy was not provided for all units receiving rent subsidy."," ")," ")</f>
        <v xml:space="preserve"> </v>
      </c>
      <c r="AA149" s="82">
        <v>133</v>
      </c>
      <c r="AE149" s="82" t="str">
        <f>'E-Feasibility Analysis'!$K$98</f>
        <v/>
      </c>
    </row>
    <row r="150" spans="2:34" s="82" customFormat="1" ht="13.5" customHeight="1">
      <c r="B150" s="2406" t="str">
        <f t="shared" si="22"/>
        <v xml:space="preserve"> </v>
      </c>
      <c r="C150" s="2406"/>
      <c r="D150" s="2406"/>
      <c r="E150" s="2406"/>
      <c r="F150" s="2406"/>
      <c r="G150" s="2406"/>
      <c r="H150" s="2406"/>
      <c r="I150" s="2406"/>
      <c r="J150" s="2406"/>
      <c r="K150" s="2406"/>
      <c r="L150" s="2406"/>
      <c r="M150" s="2406"/>
      <c r="O150" s="82">
        <f t="shared" si="20"/>
        <v>0</v>
      </c>
      <c r="S150" s="46"/>
      <c r="T150" s="46"/>
      <c r="U150" s="46">
        <f t="shared" si="26"/>
        <v>16</v>
      </c>
      <c r="V150" s="46">
        <f t="shared" si="23"/>
        <v>0</v>
      </c>
      <c r="W150" s="46">
        <f t="shared" si="24"/>
        <v>0</v>
      </c>
      <c r="X150" s="46">
        <f t="shared" si="25"/>
        <v>0</v>
      </c>
      <c r="Y150" s="46">
        <v>134</v>
      </c>
      <c r="Z150" s="762" t="str">
        <f>IFERROR(IF(AND(AE127="Yes",#REF!&gt;#REF!),"Tenant Income Verification (TIV) - The rent subsidy amount was not indicated for all units where a type of subsidy was provided."," ")," ")</f>
        <v xml:space="preserve"> </v>
      </c>
      <c r="AA150" s="82">
        <v>134</v>
      </c>
      <c r="AE150" s="82">
        <f>'E-Feasibility Analysis'!$K$96</f>
        <v>0</v>
      </c>
    </row>
    <row r="151" spans="2:34" s="82" customFormat="1" ht="13.5" customHeight="1">
      <c r="B151" s="2406" t="str">
        <f t="shared" si="22"/>
        <v xml:space="preserve"> </v>
      </c>
      <c r="C151" s="2406"/>
      <c r="D151" s="2406"/>
      <c r="E151" s="2406"/>
      <c r="F151" s="2406"/>
      <c r="G151" s="2406"/>
      <c r="H151" s="2406"/>
      <c r="I151" s="2406"/>
      <c r="J151" s="2406"/>
      <c r="K151" s="2406"/>
      <c r="L151" s="2406"/>
      <c r="M151" s="2406"/>
      <c r="O151" s="82">
        <f t="shared" si="20"/>
        <v>0</v>
      </c>
      <c r="S151" s="46"/>
      <c r="T151" s="46"/>
      <c r="U151" s="46">
        <f t="shared" si="26"/>
        <v>16</v>
      </c>
      <c r="V151" s="46">
        <f t="shared" si="23"/>
        <v>0</v>
      </c>
      <c r="W151" s="46">
        <f t="shared" si="24"/>
        <v>0</v>
      </c>
      <c r="X151" s="46">
        <f t="shared" si="25"/>
        <v>0</v>
      </c>
      <c r="Y151" s="46">
        <v>135</v>
      </c>
      <c r="Z151" s="762" t="s">
        <v>123</v>
      </c>
      <c r="AA151" s="82">
        <v>135</v>
      </c>
      <c r="AE151" s="82" t="str">
        <f>'E-Feasibility Analysis'!$K$111</f>
        <v/>
      </c>
    </row>
    <row r="152" spans="2:34" s="82" customFormat="1" ht="13.5" customHeight="1">
      <c r="B152" s="2406" t="str">
        <f t="shared" si="22"/>
        <v xml:space="preserve"> </v>
      </c>
      <c r="C152" s="2406"/>
      <c r="D152" s="2406"/>
      <c r="E152" s="2406"/>
      <c r="F152" s="2406"/>
      <c r="G152" s="2406"/>
      <c r="H152" s="2406"/>
      <c r="I152" s="2406"/>
      <c r="J152" s="2406"/>
      <c r="K152" s="2406"/>
      <c r="L152" s="2406"/>
      <c r="M152" s="2406"/>
      <c r="O152" s="82">
        <f t="shared" si="20"/>
        <v>0</v>
      </c>
      <c r="S152" s="46"/>
      <c r="T152" s="46"/>
      <c r="U152" s="46">
        <f t="shared" si="26"/>
        <v>16</v>
      </c>
      <c r="V152" s="46">
        <f t="shared" si="23"/>
        <v>0</v>
      </c>
      <c r="W152" s="46">
        <f t="shared" si="24"/>
        <v>0</v>
      </c>
      <c r="X152" s="46">
        <f t="shared" si="25"/>
        <v>0</v>
      </c>
      <c r="Y152" s="46">
        <v>136</v>
      </c>
      <c r="Z152" s="762" t="s">
        <v>123</v>
      </c>
      <c r="AA152" s="82">
        <v>136</v>
      </c>
      <c r="AE152" s="82" t="str">
        <f>'E-Feasibility Analysis'!$K$130</f>
        <v>Select One…</v>
      </c>
    </row>
    <row r="153" spans="2:34" s="82" customFormat="1" ht="13.5" customHeight="1">
      <c r="B153" s="2406" t="str">
        <f t="shared" si="22"/>
        <v xml:space="preserve"> </v>
      </c>
      <c r="C153" s="2406"/>
      <c r="D153" s="2406"/>
      <c r="E153" s="2406"/>
      <c r="F153" s="2406"/>
      <c r="G153" s="2406"/>
      <c r="H153" s="2406"/>
      <c r="I153" s="2406"/>
      <c r="J153" s="2406"/>
      <c r="K153" s="2406"/>
      <c r="L153" s="2406"/>
      <c r="M153" s="2406"/>
      <c r="O153" s="82">
        <f t="shared" si="20"/>
        <v>0</v>
      </c>
      <c r="S153" s="46"/>
      <c r="T153" s="46"/>
      <c r="U153" s="46">
        <f t="shared" si="26"/>
        <v>16</v>
      </c>
      <c r="V153" s="46">
        <f t="shared" si="23"/>
        <v>0</v>
      </c>
      <c r="W153" s="46">
        <f t="shared" si="24"/>
        <v>0</v>
      </c>
      <c r="X153" s="46">
        <f t="shared" si="25"/>
        <v>0</v>
      </c>
      <c r="Y153" s="46">
        <v>137</v>
      </c>
      <c r="Z153" s="762" t="str">
        <f>IFERROR(IF(AND(AE127="Yes",AU141&lt;$BA$141),"Tenant Income Verification (TIV) - The current income has not been provided for all listed non-vacant units."," ")," ")</f>
        <v xml:space="preserve"> </v>
      </c>
      <c r="AA153" s="82">
        <v>137</v>
      </c>
    </row>
    <row r="154" spans="2:34" s="82" customFormat="1" ht="13.5" customHeight="1">
      <c r="B154" s="2406" t="str">
        <f t="shared" si="22"/>
        <v xml:space="preserve"> </v>
      </c>
      <c r="C154" s="2406"/>
      <c r="D154" s="2406"/>
      <c r="E154" s="2406"/>
      <c r="F154" s="2406"/>
      <c r="G154" s="2406"/>
      <c r="H154" s="2406"/>
      <c r="I154" s="2406"/>
      <c r="J154" s="2406"/>
      <c r="K154" s="2406"/>
      <c r="L154" s="2406"/>
      <c r="M154" s="2406"/>
      <c r="O154" s="82">
        <f t="shared" si="20"/>
        <v>0</v>
      </c>
      <c r="S154" s="46"/>
      <c r="T154" s="46"/>
      <c r="U154" s="46">
        <f t="shared" si="26"/>
        <v>16</v>
      </c>
      <c r="V154" s="46">
        <f t="shared" si="23"/>
        <v>0</v>
      </c>
      <c r="W154" s="46">
        <f t="shared" si="24"/>
        <v>0</v>
      </c>
      <c r="X154" s="46">
        <f t="shared" si="25"/>
        <v>0</v>
      </c>
      <c r="Y154" s="46">
        <v>138</v>
      </c>
      <c r="Z154" s="762" t="str">
        <f>IFERROR(IF(AND(AE127="Yes",AV141&lt;$BA$141),"Tenant Income Verification (TIV) - Special needs units have not been indicated for all listed non-vacant units."," ")," ")</f>
        <v xml:space="preserve"> </v>
      </c>
      <c r="AA154" s="82">
        <v>138</v>
      </c>
      <c r="AB154" s="772"/>
    </row>
    <row r="155" spans="2:34" ht="12" customHeight="1">
      <c r="B155" s="2406" t="str">
        <f t="shared" si="22"/>
        <v xml:space="preserve"> </v>
      </c>
      <c r="C155" s="2406"/>
      <c r="D155" s="2406"/>
      <c r="E155" s="2406"/>
      <c r="F155" s="2406"/>
      <c r="G155" s="2406"/>
      <c r="H155" s="2406"/>
      <c r="I155" s="2406"/>
      <c r="J155" s="2406"/>
      <c r="K155" s="2406"/>
      <c r="L155" s="2406"/>
      <c r="M155" s="2406"/>
      <c r="O155" s="82">
        <f t="shared" si="20"/>
        <v>0</v>
      </c>
      <c r="P155" s="82"/>
      <c r="Q155" s="82"/>
      <c r="R155" s="82"/>
      <c r="S155" s="46"/>
      <c r="T155" s="46"/>
      <c r="U155" s="46">
        <f t="shared" si="26"/>
        <v>16</v>
      </c>
      <c r="V155" s="46">
        <f t="shared" si="23"/>
        <v>0</v>
      </c>
      <c r="W155" s="46">
        <f t="shared" si="24"/>
        <v>0</v>
      </c>
      <c r="X155" s="46">
        <f t="shared" si="25"/>
        <v>0</v>
      </c>
      <c r="Y155" s="46">
        <v>139</v>
      </c>
      <c r="Z155" s="762" t="str">
        <f>IFERROR(IF(AND(AE127="Yes",AW141&lt;$BA$141),"Tenant Income Verification (TIV) - Elderly units have not been indicated for all listed non-vacant units."," ")," ")</f>
        <v xml:space="preserve"> </v>
      </c>
      <c r="AA155" s="82">
        <v>139</v>
      </c>
      <c r="AB155" s="465"/>
      <c r="AD155" s="97">
        <f>'G-Sponsor Provided Financing'!$M$31</f>
        <v>0</v>
      </c>
      <c r="AF155" s="97">
        <f>'A(2)-Uses Statement'!$M$81</f>
        <v>0</v>
      </c>
      <c r="AH155" s="97" t="str">
        <f>'Project Info and Instructions'!$K$20</f>
        <v>Select 'Yes' or 'No'</v>
      </c>
    </row>
    <row r="156" spans="2:34" ht="12" customHeight="1">
      <c r="B156" s="2406" t="str">
        <f t="shared" si="22"/>
        <v xml:space="preserve"> </v>
      </c>
      <c r="C156" s="2406"/>
      <c r="D156" s="2406"/>
      <c r="E156" s="2406"/>
      <c r="F156" s="2406"/>
      <c r="G156" s="2406"/>
      <c r="H156" s="2406"/>
      <c r="I156" s="2406"/>
      <c r="J156" s="2406"/>
      <c r="K156" s="2406"/>
      <c r="L156" s="2406"/>
      <c r="M156" s="2406"/>
      <c r="O156" s="82">
        <f t="shared" si="20"/>
        <v>0</v>
      </c>
      <c r="U156" s="46">
        <f t="shared" si="26"/>
        <v>16</v>
      </c>
      <c r="V156" s="46">
        <f t="shared" si="23"/>
        <v>0</v>
      </c>
      <c r="W156" s="46">
        <f t="shared" si="24"/>
        <v>0</v>
      </c>
      <c r="X156" s="46">
        <f t="shared" si="25"/>
        <v>0</v>
      </c>
      <c r="Y156" s="46">
        <v>140</v>
      </c>
      <c r="Z156" s="762" t="str">
        <f>IFERROR(IF(AND(AE127="Yes",AX141&lt;$BA$141),"Tenant Income Verification (TIV) - Homeless units have not been indicated for all listed non-vacant units."," ")," ")</f>
        <v xml:space="preserve"> </v>
      </c>
      <c r="AA156" s="82">
        <v>140</v>
      </c>
      <c r="AB156" s="465"/>
      <c r="AD156" s="97">
        <f>'G-Sponsor Provided Financing'!$M$35</f>
        <v>0</v>
      </c>
      <c r="AF156" s="470">
        <f>'A(1)-Sources Stmt.'!$F$50</f>
        <v>0</v>
      </c>
    </row>
    <row r="157" spans="2:34" ht="12" customHeight="1">
      <c r="B157" s="2406" t="str">
        <f t="shared" si="22"/>
        <v xml:space="preserve"> </v>
      </c>
      <c r="C157" s="2406"/>
      <c r="D157" s="2406"/>
      <c r="E157" s="2406"/>
      <c r="F157" s="2406"/>
      <c r="G157" s="2406"/>
      <c r="H157" s="2406"/>
      <c r="I157" s="2406"/>
      <c r="J157" s="2406"/>
      <c r="K157" s="2406"/>
      <c r="L157" s="2406"/>
      <c r="M157" s="2406"/>
      <c r="O157" s="82">
        <f t="shared" si="20"/>
        <v>0</v>
      </c>
      <c r="U157" s="46">
        <f t="shared" si="26"/>
        <v>16</v>
      </c>
      <c r="V157" s="46">
        <f t="shared" si="23"/>
        <v>0</v>
      </c>
      <c r="W157" s="46">
        <f t="shared" si="24"/>
        <v>0</v>
      </c>
      <c r="X157" s="46">
        <f t="shared" si="25"/>
        <v>0</v>
      </c>
      <c r="Y157" s="46">
        <v>141</v>
      </c>
      <c r="Z157" s="762" t="str">
        <f>IFERROR(IF(AND(AB141="Sponsor Provided Financing",'G-Sponsor Provided Financing'!F20=""),"Sponsor Provided Financing - A mortgage interest rate has not been indicated"," ")," ")</f>
        <v xml:space="preserve"> </v>
      </c>
      <c r="AA157" s="82">
        <v>141</v>
      </c>
      <c r="AD157" s="99">
        <f>'G-Sponsor Provided Financing'!$M$33</f>
        <v>0</v>
      </c>
      <c r="AE157" s="99"/>
      <c r="AF157" s="471">
        <f>'A(1)-Sources Stmt.'!$F$34</f>
        <v>0</v>
      </c>
    </row>
    <row r="158" spans="2:34" ht="12" customHeight="1">
      <c r="B158" s="2406" t="str">
        <f t="shared" si="22"/>
        <v xml:space="preserve"> </v>
      </c>
      <c r="C158" s="2406"/>
      <c r="D158" s="2406"/>
      <c r="E158" s="2406"/>
      <c r="F158" s="2406"/>
      <c r="G158" s="2406"/>
      <c r="H158" s="2406"/>
      <c r="I158" s="2406"/>
      <c r="J158" s="2406"/>
      <c r="K158" s="2406"/>
      <c r="L158" s="2406"/>
      <c r="M158" s="2406"/>
      <c r="O158" s="82">
        <f t="shared" si="20"/>
        <v>0</v>
      </c>
      <c r="U158" s="46">
        <f t="shared" si="26"/>
        <v>16</v>
      </c>
      <c r="V158" s="46">
        <f t="shared" si="23"/>
        <v>0</v>
      </c>
      <c r="W158" s="46">
        <f t="shared" si="24"/>
        <v>0</v>
      </c>
      <c r="X158" s="46">
        <f t="shared" si="25"/>
        <v>0</v>
      </c>
      <c r="Y158" s="46">
        <v>142</v>
      </c>
      <c r="Z158" s="762" t="str">
        <f>IFERROR(IF(AND(AB141="Sponsor Provided Financing",'G-Sponsor Provided Financing'!M17=""),"Sponsor Provided Financing - Homebuyer downpayment has not been indicated"," ")," ")</f>
        <v xml:space="preserve"> </v>
      </c>
      <c r="AA158" s="82">
        <v>142</v>
      </c>
    </row>
    <row r="159" spans="2:34" ht="12" customHeight="1">
      <c r="B159" s="2406" t="str">
        <f t="shared" si="22"/>
        <v xml:space="preserve"> </v>
      </c>
      <c r="C159" s="2406"/>
      <c r="D159" s="2406"/>
      <c r="E159" s="2406"/>
      <c r="F159" s="2406"/>
      <c r="G159" s="2406"/>
      <c r="H159" s="2406"/>
      <c r="I159" s="2406"/>
      <c r="J159" s="2406"/>
      <c r="K159" s="2406"/>
      <c r="L159" s="2406"/>
      <c r="M159" s="2406"/>
      <c r="O159" s="82">
        <f t="shared" si="20"/>
        <v>0</v>
      </c>
      <c r="U159" s="46">
        <f t="shared" si="26"/>
        <v>16</v>
      </c>
      <c r="V159" s="46">
        <f t="shared" si="23"/>
        <v>0</v>
      </c>
      <c r="W159" s="46">
        <f t="shared" si="24"/>
        <v>0</v>
      </c>
      <c r="X159" s="46">
        <f t="shared" si="25"/>
        <v>0</v>
      </c>
      <c r="Y159" s="46">
        <v>143</v>
      </c>
      <c r="Z159" s="762" t="str">
        <f>IFERROR(IF(AND(AB141="Sponsor Provided Financing",'G-Sponsor Provided Financing'!M18=""),"Sponsor Provided Financing - Habitat Affiliate's Cash Contribution has not been indicated"," ")," ")</f>
        <v xml:space="preserve"> </v>
      </c>
      <c r="AA159" s="82">
        <v>143</v>
      </c>
    </row>
    <row r="160" spans="2:34" ht="12" customHeight="1">
      <c r="B160" s="2406" t="str">
        <f t="shared" si="22"/>
        <v xml:space="preserve"> </v>
      </c>
      <c r="C160" s="2406"/>
      <c r="D160" s="2406"/>
      <c r="E160" s="2406"/>
      <c r="F160" s="2406"/>
      <c r="G160" s="2406"/>
      <c r="H160" s="2406"/>
      <c r="I160" s="2406"/>
      <c r="J160" s="2406"/>
      <c r="K160" s="2406"/>
      <c r="L160" s="2406"/>
      <c r="M160" s="2406"/>
      <c r="O160" s="82">
        <f t="shared" si="20"/>
        <v>0</v>
      </c>
      <c r="U160" s="46">
        <f t="shared" si="26"/>
        <v>16</v>
      </c>
      <c r="V160" s="46">
        <f t="shared" si="23"/>
        <v>0</v>
      </c>
      <c r="W160" s="46">
        <f t="shared" si="24"/>
        <v>0</v>
      </c>
      <c r="X160" s="46">
        <f t="shared" si="25"/>
        <v>0</v>
      </c>
      <c r="Y160" s="46">
        <v>144</v>
      </c>
      <c r="Z160" s="762" t="str">
        <f>IFERROR(IF(AND(AB141="Sponsor Provided Financing",'G-Sponsor Provided Financing'!M19=""),"Sponsor Provided Financing - Other cash sources have not been indicated"," ")," ")</f>
        <v xml:space="preserve"> </v>
      </c>
      <c r="AA160" s="82">
        <v>144</v>
      </c>
      <c r="AD160" s="803">
        <f>ROUND(AD157,0)</f>
        <v>0</v>
      </c>
      <c r="AE160" s="797"/>
      <c r="AF160" s="803">
        <f>ROUND(AF157,0)</f>
        <v>0</v>
      </c>
      <c r="AG160" s="797"/>
      <c r="AH160" s="800">
        <f>IF(AD160=AF160,1,0)</f>
        <v>1</v>
      </c>
    </row>
    <row r="161" spans="2:33" ht="12" customHeight="1">
      <c r="B161" s="2406" t="str">
        <f t="shared" si="22"/>
        <v xml:space="preserve"> </v>
      </c>
      <c r="C161" s="2406"/>
      <c r="D161" s="2406"/>
      <c r="E161" s="2406"/>
      <c r="F161" s="2406"/>
      <c r="G161" s="2406"/>
      <c r="H161" s="2406"/>
      <c r="I161" s="2406"/>
      <c r="J161" s="2406"/>
      <c r="K161" s="2406"/>
      <c r="L161" s="2406"/>
      <c r="M161" s="2406"/>
      <c r="O161" s="82">
        <f t="shared" si="20"/>
        <v>0</v>
      </c>
      <c r="U161" s="46">
        <f t="shared" si="26"/>
        <v>16</v>
      </c>
      <c r="V161" s="46">
        <f t="shared" si="23"/>
        <v>0</v>
      </c>
      <c r="W161" s="46">
        <f t="shared" si="24"/>
        <v>0</v>
      </c>
      <c r="X161" s="46">
        <f t="shared" si="25"/>
        <v>0</v>
      </c>
      <c r="Y161" s="46">
        <v>145</v>
      </c>
      <c r="Z161" s="762" t="str">
        <f>IFERROR(IF(AND(AB141="Sponsor Provided Financing",'G-Sponsor Provided Financing'!M24=""),"Sponsor Provided Financing - Land/acquisition costs have not been indicated"," ")," ")</f>
        <v xml:space="preserve"> </v>
      </c>
      <c r="AA161" s="82">
        <v>145</v>
      </c>
    </row>
    <row r="162" spans="2:33" ht="12" customHeight="1">
      <c r="B162" s="2406" t="str">
        <f t="shared" si="22"/>
        <v xml:space="preserve"> </v>
      </c>
      <c r="C162" s="2406"/>
      <c r="D162" s="2406"/>
      <c r="E162" s="2406"/>
      <c r="F162" s="2406"/>
      <c r="G162" s="2406"/>
      <c r="H162" s="2406"/>
      <c r="I162" s="2406"/>
      <c r="J162" s="2406"/>
      <c r="K162" s="2406"/>
      <c r="L162" s="2406"/>
      <c r="M162" s="2406"/>
      <c r="O162" s="82">
        <f t="shared" ref="O162:O169" si="27">IF(B162=" ",0,1)</f>
        <v>0</v>
      </c>
      <c r="U162" s="46">
        <f t="shared" si="26"/>
        <v>16</v>
      </c>
      <c r="V162" s="46">
        <f t="shared" si="23"/>
        <v>0</v>
      </c>
      <c r="W162" s="46">
        <f t="shared" si="24"/>
        <v>0</v>
      </c>
      <c r="X162" s="46">
        <f t="shared" si="25"/>
        <v>0</v>
      </c>
      <c r="Y162" s="46">
        <v>146</v>
      </c>
      <c r="Z162" s="762" t="str">
        <f>IFERROR(IF(AND(AB141="Sponsor Provided Financing",'G-Sponsor Provided Financing'!M25=""),"Sponsor Provided Financing - Site work costs have not been indicated"," ")," ")</f>
        <v xml:space="preserve"> </v>
      </c>
      <c r="AA162" s="82">
        <v>146</v>
      </c>
    </row>
    <row r="163" spans="2:33" ht="12" customHeight="1">
      <c r="B163" s="2406" t="str">
        <f t="shared" si="22"/>
        <v xml:space="preserve"> </v>
      </c>
      <c r="C163" s="2406"/>
      <c r="D163" s="2406"/>
      <c r="E163" s="2406"/>
      <c r="F163" s="2406"/>
      <c r="G163" s="2406"/>
      <c r="H163" s="2406"/>
      <c r="I163" s="2406"/>
      <c r="J163" s="2406"/>
      <c r="K163" s="2406"/>
      <c r="L163" s="2406"/>
      <c r="M163" s="2406"/>
      <c r="O163" s="82">
        <f t="shared" si="27"/>
        <v>0</v>
      </c>
      <c r="U163" s="46">
        <f t="shared" si="26"/>
        <v>16</v>
      </c>
      <c r="V163" s="46">
        <f t="shared" si="23"/>
        <v>0</v>
      </c>
      <c r="W163" s="46">
        <f t="shared" si="24"/>
        <v>0</v>
      </c>
      <c r="X163" s="46">
        <f t="shared" si="25"/>
        <v>0</v>
      </c>
      <c r="Y163" s="46">
        <v>147</v>
      </c>
      <c r="Z163" s="762" t="str">
        <f>IFERROR(IF(AND(AB141="Sponsor Provided Financing",'G-Sponsor Provided Financing'!M26=""),"Sponsor Provided Financing - Construction costs have not been indicated"," ")," ")</f>
        <v xml:space="preserve"> </v>
      </c>
      <c r="AA163" s="82">
        <v>147</v>
      </c>
    </row>
    <row r="164" spans="2:33">
      <c r="B164" s="2406" t="str">
        <f t="shared" si="22"/>
        <v xml:space="preserve"> </v>
      </c>
      <c r="C164" s="2406"/>
      <c r="D164" s="2406"/>
      <c r="E164" s="2406"/>
      <c r="F164" s="2406"/>
      <c r="G164" s="2406"/>
      <c r="H164" s="2406"/>
      <c r="I164" s="2406"/>
      <c r="J164" s="2406"/>
      <c r="K164" s="2406"/>
      <c r="L164" s="2406"/>
      <c r="M164" s="2406"/>
      <c r="O164" s="82">
        <f t="shared" si="27"/>
        <v>0</v>
      </c>
      <c r="U164" s="46">
        <f t="shared" si="26"/>
        <v>16</v>
      </c>
      <c r="V164" s="46">
        <f t="shared" si="23"/>
        <v>0</v>
      </c>
      <c r="W164" s="46">
        <f t="shared" si="24"/>
        <v>0</v>
      </c>
      <c r="X164" s="46">
        <f t="shared" si="25"/>
        <v>0</v>
      </c>
      <c r="Y164" s="46">
        <v>148</v>
      </c>
      <c r="Z164" s="762" t="str">
        <f>IFERROR(IF(AND(AB141="Sponsor Provided Financing",'G-Sponsor Provided Financing'!M27=""),"Sponsor Provided Financing - Survey/appraisal costs have not been indicated"," ")," ")</f>
        <v xml:space="preserve"> </v>
      </c>
      <c r="AA164" s="82">
        <v>148</v>
      </c>
    </row>
    <row r="165" spans="2:33">
      <c r="B165" s="2406" t="str">
        <f t="shared" si="22"/>
        <v xml:space="preserve"> </v>
      </c>
      <c r="C165" s="2406"/>
      <c r="D165" s="2406"/>
      <c r="E165" s="2406"/>
      <c r="F165" s="2406"/>
      <c r="G165" s="2406"/>
      <c r="H165" s="2406"/>
      <c r="I165" s="2406"/>
      <c r="J165" s="2406"/>
      <c r="K165" s="2406"/>
      <c r="L165" s="2406"/>
      <c r="M165" s="2406"/>
      <c r="O165" s="82">
        <f t="shared" si="27"/>
        <v>0</v>
      </c>
      <c r="U165" s="46">
        <f t="shared" si="26"/>
        <v>16</v>
      </c>
      <c r="V165" s="46">
        <f t="shared" si="23"/>
        <v>0</v>
      </c>
      <c r="W165" s="46">
        <f t="shared" si="24"/>
        <v>0</v>
      </c>
      <c r="X165" s="46">
        <f t="shared" si="25"/>
        <v>0</v>
      </c>
      <c r="Y165" s="46">
        <v>149</v>
      </c>
      <c r="Z165" s="762" t="str">
        <f>IFERROR(IF(AND(AB141="Sponsor Provided Financing",'G-Sponsor Provided Financing'!M28=""),"Sponsor Provided Financing - Insurance costs have not been indicated"," ")," ")</f>
        <v xml:space="preserve"> </v>
      </c>
      <c r="AA165" s="82">
        <v>149</v>
      </c>
    </row>
    <row r="166" spans="2:33">
      <c r="B166" s="2406" t="str">
        <f t="shared" si="22"/>
        <v xml:space="preserve"> </v>
      </c>
      <c r="C166" s="2406"/>
      <c r="D166" s="2406"/>
      <c r="E166" s="2406"/>
      <c r="F166" s="2406"/>
      <c r="G166" s="2406"/>
      <c r="H166" s="2406"/>
      <c r="I166" s="2406"/>
      <c r="J166" s="2406"/>
      <c r="K166" s="2406"/>
      <c r="L166" s="2406"/>
      <c r="M166" s="2406"/>
      <c r="O166" s="82">
        <f t="shared" si="27"/>
        <v>0</v>
      </c>
      <c r="U166" s="46">
        <f t="shared" si="26"/>
        <v>16</v>
      </c>
      <c r="V166" s="46">
        <f t="shared" si="23"/>
        <v>0</v>
      </c>
      <c r="W166" s="46">
        <f t="shared" si="24"/>
        <v>0</v>
      </c>
      <c r="X166" s="46">
        <f t="shared" si="25"/>
        <v>0</v>
      </c>
      <c r="Y166" s="46">
        <v>150</v>
      </c>
      <c r="Z166" s="762" t="str">
        <f>IFERROR(IF(AND(AB141="Sponsor Provided Financing",'G-Sponsor Provided Financing'!M29=""),"Sponsor Provided Financing - Developer fee has not been indicated"," ")," ")</f>
        <v xml:space="preserve"> </v>
      </c>
      <c r="AA166" s="82">
        <v>150</v>
      </c>
    </row>
    <row r="167" spans="2:33">
      <c r="B167" s="2406" t="str">
        <f t="shared" si="22"/>
        <v xml:space="preserve"> </v>
      </c>
      <c r="C167" s="2406"/>
      <c r="D167" s="2406"/>
      <c r="E167" s="2406"/>
      <c r="F167" s="2406"/>
      <c r="G167" s="2406"/>
      <c r="H167" s="2406"/>
      <c r="I167" s="2406"/>
      <c r="J167" s="2406"/>
      <c r="K167" s="2406"/>
      <c r="L167" s="2406"/>
      <c r="M167" s="2406"/>
      <c r="O167" s="82">
        <f t="shared" si="27"/>
        <v>0</v>
      </c>
      <c r="U167" s="46">
        <f t="shared" si="26"/>
        <v>16</v>
      </c>
      <c r="V167" s="46">
        <f t="shared" si="23"/>
        <v>0</v>
      </c>
      <c r="W167" s="46">
        <f t="shared" si="24"/>
        <v>0</v>
      </c>
      <c r="X167" s="46">
        <f t="shared" si="25"/>
        <v>0</v>
      </c>
      <c r="Y167" s="46">
        <v>151</v>
      </c>
      <c r="Z167" s="762" t="str">
        <f>IFERROR(IF(AND(AB141="Sponsor Provided Financing",'G-Sponsor Provided Financing'!M30=""),"Sponsor Provided Financing - Other fees have not been indicated"," ")," ")</f>
        <v xml:space="preserve"> </v>
      </c>
      <c r="AA167" s="82">
        <v>151</v>
      </c>
    </row>
    <row r="168" spans="2:33">
      <c r="B168" s="2406" t="str">
        <f t="shared" si="22"/>
        <v xml:space="preserve"> </v>
      </c>
      <c r="C168" s="2406"/>
      <c r="D168" s="2406"/>
      <c r="E168" s="2406"/>
      <c r="F168" s="2406"/>
      <c r="G168" s="2406"/>
      <c r="H168" s="2406"/>
      <c r="I168" s="2406"/>
      <c r="J168" s="2406"/>
      <c r="K168" s="2406"/>
      <c r="L168" s="2406"/>
      <c r="M168" s="2406"/>
      <c r="O168" s="82">
        <f t="shared" si="27"/>
        <v>0</v>
      </c>
      <c r="U168" s="46">
        <f t="shared" si="26"/>
        <v>16</v>
      </c>
      <c r="V168" s="46">
        <f t="shared" si="23"/>
        <v>0</v>
      </c>
      <c r="W168" s="46">
        <f t="shared" si="24"/>
        <v>0</v>
      </c>
      <c r="X168" s="46">
        <f t="shared" si="25"/>
        <v>0</v>
      </c>
      <c r="Y168" s="46">
        <v>152</v>
      </c>
      <c r="Z168" s="762" t="str">
        <f>IFERROR(IF(AND(AH155="Yes",AD155&lt;&gt;AF155),"Sponsor Provided Financing - Uses indicated on the Sponsor Provided Financing Worksheet does not equal total uses indicated on the Uses Statement."," ")," ")</f>
        <v xml:space="preserve"> </v>
      </c>
      <c r="AA168" s="82">
        <v>152</v>
      </c>
    </row>
    <row r="169" spans="2:33">
      <c r="B169" s="2406" t="str">
        <f t="shared" si="22"/>
        <v xml:space="preserve"> </v>
      </c>
      <c r="C169" s="2406"/>
      <c r="D169" s="2406"/>
      <c r="E169" s="2406"/>
      <c r="F169" s="2406"/>
      <c r="G169" s="2406"/>
      <c r="H169" s="2406"/>
      <c r="I169" s="2406"/>
      <c r="J169" s="2406"/>
      <c r="K169" s="2406"/>
      <c r="L169" s="2406"/>
      <c r="M169" s="2406"/>
      <c r="O169" s="82">
        <f t="shared" si="27"/>
        <v>0</v>
      </c>
      <c r="U169" s="46">
        <f t="shared" si="26"/>
        <v>16</v>
      </c>
      <c r="V169" s="46">
        <f t="shared" si="23"/>
        <v>0</v>
      </c>
      <c r="W169" s="46">
        <f t="shared" si="24"/>
        <v>0</v>
      </c>
      <c r="X169" s="46">
        <f t="shared" si="25"/>
        <v>0</v>
      </c>
      <c r="Y169" s="46">
        <v>153</v>
      </c>
      <c r="Z169" s="762" t="str">
        <f>IFERROR(IF(AND(AH155="Yes",AD156&lt;&gt;AF156),"Sponsor Provided Financing - Total sources indicated on the Sponsor Provided Financing Worksheet does not equal total sources indicated on the Sources Statement."," ")," ")</f>
        <v xml:space="preserve"> </v>
      </c>
      <c r="AA169" s="82">
        <v>153</v>
      </c>
    </row>
    <row r="170" spans="2:33">
      <c r="B170" s="2406" t="str">
        <f t="shared" si="22"/>
        <v xml:space="preserve"> </v>
      </c>
      <c r="C170" s="2406"/>
      <c r="D170" s="2406"/>
      <c r="E170" s="2406"/>
      <c r="F170" s="2406"/>
      <c r="G170" s="2406"/>
      <c r="H170" s="2406"/>
      <c r="I170" s="2406"/>
      <c r="J170" s="2406"/>
      <c r="K170" s="2406"/>
      <c r="L170" s="2406"/>
      <c r="M170" s="2406"/>
      <c r="O170" s="82">
        <f>IF(B170=" ",0,1)</f>
        <v>0</v>
      </c>
      <c r="U170" s="46">
        <f t="shared" si="26"/>
        <v>16</v>
      </c>
      <c r="V170" s="46">
        <f t="shared" ref="V170:V176" si="28">IF(X170&gt;0,SUMIF(Y:Y,"&lt;="&amp;AA170,X:X),0)</f>
        <v>0</v>
      </c>
      <c r="W170" s="46">
        <f t="shared" si="24"/>
        <v>0</v>
      </c>
      <c r="X170" s="46">
        <f>IF(Z170=" ",0,1)</f>
        <v>0</v>
      </c>
      <c r="Y170" s="46">
        <v>154</v>
      </c>
      <c r="Z170" s="762" t="str">
        <f>IFERROR(IF(AND(AH155="Yes",AH160=0),"Sponsor Provided Financing - The funding gap (AHP Subsidy Requested) on the Sponsor Provided Financing Worksheet does not equal the AHP subsidy amount indicated on the Sources Statement."," ")," ")</f>
        <v xml:space="preserve"> </v>
      </c>
      <c r="AA170" s="82">
        <v>154</v>
      </c>
      <c r="AD170" s="97" t="s">
        <v>1122</v>
      </c>
      <c r="AE170" s="800" t="s">
        <v>1121</v>
      </c>
    </row>
    <row r="171" spans="2:33">
      <c r="B171" s="2516"/>
      <c r="C171" s="2516"/>
      <c r="D171" s="2516"/>
      <c r="E171" s="2516"/>
      <c r="F171" s="2516"/>
      <c r="G171" s="2516"/>
      <c r="H171" s="2516"/>
      <c r="I171" s="2516"/>
      <c r="J171" s="2516"/>
      <c r="K171" s="2516"/>
      <c r="L171" s="2516"/>
      <c r="M171" s="2516"/>
      <c r="U171" s="46">
        <f t="shared" si="26"/>
        <v>16</v>
      </c>
      <c r="V171" s="46">
        <f t="shared" si="28"/>
        <v>0</v>
      </c>
      <c r="W171" s="46">
        <f t="shared" ref="W171:W176" si="29">IF(X171&gt;0,W170+X171,0)</f>
        <v>0</v>
      </c>
      <c r="X171" s="46">
        <f t="shared" ref="X171" si="30">IF(Z171=" ",0,1)</f>
        <v>0</v>
      </c>
      <c r="Y171" s="46">
        <v>155</v>
      </c>
      <c r="Z171" s="118" t="str">
        <f>IF('A(3)-Sources and Uses Summary'!S40&gt;0,"Sources &amp; Uses Summary - A source(s) have not been identified for the funding types."," ")</f>
        <v xml:space="preserve"> </v>
      </c>
      <c r="AA171" s="82">
        <v>155</v>
      </c>
      <c r="AD171" s="470">
        <f>'A(1)-Sources Stmt.'!$BG$50</f>
        <v>0</v>
      </c>
      <c r="AE171" s="933">
        <f>'A(2)-Uses Statement'!$I$81</f>
        <v>0</v>
      </c>
      <c r="AG171" s="470">
        <f>AD171-AE171</f>
        <v>0</v>
      </c>
    </row>
    <row r="172" spans="2:33">
      <c r="B172" s="2516"/>
      <c r="C172" s="2516"/>
      <c r="D172" s="2516"/>
      <c r="E172" s="2516"/>
      <c r="F172" s="2516"/>
      <c r="G172" s="2516"/>
      <c r="H172" s="2516"/>
      <c r="I172" s="2516"/>
      <c r="J172" s="2516"/>
      <c r="K172" s="2516"/>
      <c r="L172" s="2516"/>
      <c r="M172" s="2516"/>
      <c r="U172" s="46">
        <f t="shared" si="26"/>
        <v>16</v>
      </c>
      <c r="V172" s="46">
        <f t="shared" si="28"/>
        <v>0</v>
      </c>
      <c r="W172" s="46">
        <f t="shared" si="29"/>
        <v>0</v>
      </c>
      <c r="X172" s="46">
        <f>IF(Z172=" ",0,1)</f>
        <v>0</v>
      </c>
      <c r="Y172" s="46">
        <v>156</v>
      </c>
      <c r="Z172" s="118" t="str">
        <f>IF(AND(AG171&gt;=-1,AG171&lt;=1)," ","Sources Statement - Commercial sources does not equal commercial uses.")</f>
        <v xml:space="preserve"> </v>
      </c>
      <c r="AA172" s="82">
        <v>156</v>
      </c>
    </row>
    <row r="173" spans="2:33">
      <c r="B173" s="2516"/>
      <c r="C173" s="2516"/>
      <c r="D173" s="2516"/>
      <c r="E173" s="2516"/>
      <c r="F173" s="2516"/>
      <c r="G173" s="2516"/>
      <c r="H173" s="2516"/>
      <c r="I173" s="2516"/>
      <c r="J173" s="2516"/>
      <c r="K173" s="2516"/>
      <c r="L173" s="2516"/>
      <c r="M173" s="2516"/>
      <c r="U173" s="46">
        <f t="shared" si="26"/>
        <v>16</v>
      </c>
      <c r="V173" s="46">
        <f t="shared" si="28"/>
        <v>0</v>
      </c>
      <c r="W173" s="46">
        <f t="shared" si="29"/>
        <v>0</v>
      </c>
      <c r="X173" s="46">
        <f>IF(Z173=" ",0,1)</f>
        <v>0</v>
      </c>
      <c r="Y173" s="46">
        <v>157</v>
      </c>
      <c r="Z173" s="463" t="str">
        <f>IF(AND('E(2)-Sources &amp; Uses Analysis'!C38&lt;&gt;"",'E(2)-Sources &amp; Uses Analysis'!B39=""),"Sources &amp; Uses Analysis - An explanation for the variance in construction sources has not been provided."," ")</f>
        <v xml:space="preserve"> </v>
      </c>
      <c r="AA173" s="82">
        <v>157</v>
      </c>
    </row>
    <row r="174" spans="2:33">
      <c r="B174" s="2516"/>
      <c r="C174" s="2516"/>
      <c r="D174" s="2516"/>
      <c r="E174" s="2516"/>
      <c r="F174" s="2516"/>
      <c r="G174" s="2516"/>
      <c r="H174" s="2516"/>
      <c r="I174" s="2516"/>
      <c r="J174" s="2516"/>
      <c r="K174" s="2516"/>
      <c r="L174" s="2516"/>
      <c r="M174" s="2516"/>
      <c r="U174" s="46">
        <f>RANK(V174,$V$17:$V$190)</f>
        <v>16</v>
      </c>
      <c r="V174" s="46">
        <f t="shared" si="28"/>
        <v>0</v>
      </c>
      <c r="W174" s="46">
        <f t="shared" si="29"/>
        <v>0</v>
      </c>
      <c r="X174" s="46">
        <f>IF(Z174=" ",0,1)</f>
        <v>0</v>
      </c>
      <c r="Y174" s="46">
        <v>158</v>
      </c>
      <c r="Z174" s="463" t="str">
        <f>IF(AND('E(2)-Sources &amp; Uses Analysis'!C67&lt;&gt;"",'E(2)-Sources &amp; Uses Analysis'!B68=""),"Sources &amp; Uses Analysis - An explanation for the variance in permanent sources has not been provided."," ")</f>
        <v xml:space="preserve"> </v>
      </c>
      <c r="AA174" s="82">
        <v>158</v>
      </c>
    </row>
    <row r="175" spans="2:33">
      <c r="B175" s="2516"/>
      <c r="C175" s="2516"/>
      <c r="D175" s="2516"/>
      <c r="E175" s="2516"/>
      <c r="F175" s="2516"/>
      <c r="G175" s="2516"/>
      <c r="H175" s="2516"/>
      <c r="I175" s="2516"/>
      <c r="J175" s="2516"/>
      <c r="K175" s="2516"/>
      <c r="L175" s="2516"/>
      <c r="M175" s="2516"/>
      <c r="U175" s="46">
        <f>RANK(V175,$V$17:$V$190)</f>
        <v>16</v>
      </c>
      <c r="V175" s="46">
        <f t="shared" si="28"/>
        <v>0</v>
      </c>
      <c r="W175" s="46">
        <f t="shared" si="29"/>
        <v>0</v>
      </c>
      <c r="X175" s="46">
        <f>IF(Z175=" ",0,1)</f>
        <v>0</v>
      </c>
      <c r="Y175" s="46">
        <v>159</v>
      </c>
      <c r="Z175" s="463" t="str">
        <f>IF(AND('E(2)-Sources &amp; Uses Analysis'!C147&lt;&gt;"",'E(2)-Sources &amp; Uses Analysis'!C148=""),"Sources &amp; Uses Analysis - An explanation for the variance on the Uses Statement has not been provided."," ")</f>
        <v xml:space="preserve"> </v>
      </c>
      <c r="AA175" s="82">
        <v>159</v>
      </c>
    </row>
    <row r="176" spans="2:33">
      <c r="B176" s="2516"/>
      <c r="C176" s="2516"/>
      <c r="D176" s="2516"/>
      <c r="E176" s="2516"/>
      <c r="F176" s="2516"/>
      <c r="G176" s="2516"/>
      <c r="H176" s="2516"/>
      <c r="I176" s="2516"/>
      <c r="J176" s="2516"/>
      <c r="K176" s="2516"/>
      <c r="L176" s="2516"/>
      <c r="M176" s="2516"/>
      <c r="U176" s="46">
        <f>RANK(V176,$V$17:$V$190)</f>
        <v>1</v>
      </c>
      <c r="V176" s="46">
        <f t="shared" si="28"/>
        <v>15</v>
      </c>
      <c r="W176" s="46">
        <f t="shared" si="29"/>
        <v>1</v>
      </c>
      <c r="X176" s="46">
        <f>IF(Z176=" ",0,1)</f>
        <v>1</v>
      </c>
      <c r="Y176" s="46">
        <v>160</v>
      </c>
      <c r="Z176" s="463" t="str">
        <f>IF('E(2)-Sources &amp; Uses Analysis'!M12="","Sources &amp; Uses Analysis - An as of date has not been provided."," ")</f>
        <v>Sources &amp; Uses Analysis - An as of date has not been provided.</v>
      </c>
      <c r="AA176" s="82">
        <v>160</v>
      </c>
    </row>
    <row r="177" spans="2:31">
      <c r="B177" s="2516"/>
      <c r="C177" s="2516"/>
      <c r="D177" s="2516"/>
      <c r="E177" s="2516"/>
      <c r="F177" s="2516"/>
      <c r="G177" s="2516"/>
      <c r="H177" s="2516"/>
      <c r="I177" s="2516"/>
      <c r="J177" s="2516"/>
      <c r="K177" s="2516"/>
      <c r="L177" s="2516"/>
      <c r="M177" s="2516"/>
      <c r="AA177" s="82">
        <v>161</v>
      </c>
    </row>
    <row r="178" spans="2:31">
      <c r="B178" s="2516"/>
      <c r="C178" s="2516"/>
      <c r="D178" s="2516"/>
      <c r="E178" s="2516"/>
      <c r="F178" s="2516"/>
      <c r="G178" s="2516"/>
      <c r="H178" s="2516"/>
      <c r="I178" s="2516"/>
      <c r="J178" s="2516"/>
      <c r="K178" s="2516"/>
      <c r="L178" s="2516"/>
      <c r="M178" s="2516"/>
    </row>
    <row r="179" spans="2:31">
      <c r="B179" s="2516"/>
      <c r="C179" s="2516"/>
      <c r="D179" s="2516"/>
      <c r="E179" s="2516"/>
      <c r="F179" s="2516"/>
      <c r="G179" s="2516"/>
      <c r="H179" s="2516"/>
      <c r="I179" s="2516"/>
      <c r="J179" s="2516"/>
      <c r="K179" s="2516"/>
      <c r="L179" s="2516"/>
      <c r="M179" s="2516"/>
    </row>
    <row r="180" spans="2:31">
      <c r="B180" s="2516"/>
      <c r="C180" s="2516"/>
      <c r="D180" s="2516"/>
      <c r="E180" s="2516"/>
      <c r="F180" s="2516"/>
      <c r="G180" s="2516"/>
      <c r="H180" s="2516"/>
      <c r="I180" s="2516"/>
      <c r="J180" s="2516"/>
      <c r="K180" s="2516"/>
      <c r="L180" s="2516"/>
      <c r="M180" s="2516"/>
    </row>
    <row r="181" spans="2:31">
      <c r="B181" s="2516"/>
      <c r="C181" s="2516"/>
      <c r="D181" s="2516"/>
      <c r="E181" s="2516"/>
      <c r="F181" s="2516"/>
      <c r="G181" s="2516"/>
      <c r="H181" s="2516"/>
      <c r="I181" s="2516"/>
      <c r="J181" s="2516"/>
      <c r="K181" s="2516"/>
      <c r="L181" s="2516"/>
      <c r="M181" s="2516"/>
    </row>
    <row r="182" spans="2:31">
      <c r="B182" s="2516"/>
      <c r="C182" s="2516"/>
      <c r="D182" s="2516"/>
      <c r="E182" s="2516"/>
      <c r="F182" s="2516"/>
      <c r="G182" s="2516"/>
      <c r="H182" s="2516"/>
      <c r="I182" s="2516"/>
      <c r="J182" s="2516"/>
      <c r="K182" s="2516"/>
      <c r="L182" s="2516"/>
      <c r="M182" s="2516"/>
    </row>
    <row r="183" spans="2:31">
      <c r="B183" s="2516"/>
      <c r="C183" s="2516"/>
      <c r="D183" s="2516"/>
      <c r="E183" s="2516"/>
      <c r="F183" s="2516"/>
      <c r="G183" s="2516"/>
      <c r="H183" s="2516"/>
      <c r="I183" s="2516"/>
      <c r="J183" s="2516"/>
      <c r="K183" s="2516"/>
      <c r="L183" s="2516"/>
      <c r="M183" s="2516"/>
    </row>
    <row r="184" spans="2:31">
      <c r="B184" s="2516"/>
      <c r="C184" s="2516"/>
      <c r="D184" s="2516"/>
      <c r="E184" s="2516"/>
      <c r="F184" s="2516"/>
      <c r="G184" s="2516"/>
      <c r="H184" s="2516"/>
      <c r="I184" s="2516"/>
      <c r="J184" s="2516"/>
      <c r="K184" s="2516"/>
      <c r="L184" s="2516"/>
      <c r="M184" s="2516"/>
    </row>
    <row r="185" spans="2:31">
      <c r="B185" s="2516"/>
      <c r="C185" s="2516"/>
      <c r="D185" s="2516"/>
      <c r="E185" s="2516"/>
      <c r="F185" s="2516"/>
      <c r="G185" s="2516"/>
      <c r="H185" s="2516"/>
      <c r="I185" s="2516"/>
      <c r="J185" s="2516"/>
      <c r="K185" s="2516"/>
      <c r="L185" s="2516"/>
      <c r="M185" s="2516"/>
    </row>
    <row r="186" spans="2:31">
      <c r="B186" s="2516"/>
      <c r="C186" s="2516"/>
      <c r="D186" s="2516"/>
      <c r="E186" s="2516"/>
      <c r="F186" s="2516"/>
      <c r="G186" s="2516"/>
      <c r="H186" s="2516"/>
      <c r="I186" s="2516"/>
      <c r="J186" s="2516"/>
      <c r="K186" s="2516"/>
      <c r="L186" s="2516"/>
      <c r="M186" s="2516"/>
    </row>
    <row r="187" spans="2:31">
      <c r="B187" s="2516"/>
      <c r="C187" s="2516"/>
      <c r="D187" s="2516"/>
      <c r="E187" s="2516"/>
      <c r="F187" s="2516"/>
      <c r="G187" s="2516"/>
      <c r="H187" s="2516"/>
      <c r="I187" s="2516"/>
      <c r="J187" s="2516"/>
      <c r="K187" s="2516"/>
      <c r="L187" s="2516"/>
      <c r="M187" s="2516"/>
    </row>
    <row r="188" spans="2:31">
      <c r="B188" s="2516"/>
      <c r="C188" s="2516"/>
      <c r="D188" s="2516"/>
      <c r="E188" s="2516"/>
      <c r="F188" s="2516"/>
      <c r="G188" s="2516"/>
      <c r="H188" s="2516"/>
      <c r="I188" s="2516"/>
      <c r="J188" s="2516"/>
      <c r="K188" s="2516"/>
      <c r="L188" s="2516"/>
      <c r="M188" s="2516"/>
    </row>
    <row r="190" spans="2:31">
      <c r="AB190" s="168"/>
      <c r="AC190" s="168"/>
      <c r="AD190" s="168"/>
      <c r="AE190" s="168"/>
    </row>
    <row r="191" spans="2:31">
      <c r="AB191" s="168"/>
      <c r="AC191" s="168"/>
      <c r="AD191" s="168"/>
      <c r="AE191" s="168"/>
    </row>
    <row r="192" spans="2:31">
      <c r="AC192" s="99"/>
      <c r="AD192" s="99"/>
      <c r="AE192" s="168"/>
    </row>
    <row r="193" spans="31:31">
      <c r="AE193" s="168"/>
    </row>
    <row r="194" spans="31:31">
      <c r="AE194" s="168"/>
    </row>
    <row r="195" spans="31:31">
      <c r="AE195" s="168"/>
    </row>
    <row r="196" spans="31:31">
      <c r="AE196" s="168"/>
    </row>
    <row r="197" spans="31:31">
      <c r="AE197" s="99"/>
    </row>
  </sheetData>
  <sheetProtection password="C9A3" sheet="1" objects="1" scenarios="1" selectLockedCells="1"/>
  <mergeCells count="178">
    <mergeCell ref="B183:M183"/>
    <mergeCell ref="B184:M184"/>
    <mergeCell ref="B185:M185"/>
    <mergeCell ref="B186:M186"/>
    <mergeCell ref="B187:M187"/>
    <mergeCell ref="B188:M188"/>
    <mergeCell ref="B177:M177"/>
    <mergeCell ref="B178:M178"/>
    <mergeCell ref="B179:M179"/>
    <mergeCell ref="B180:M180"/>
    <mergeCell ref="B181:M181"/>
    <mergeCell ref="B182:M182"/>
    <mergeCell ref="B171:M171"/>
    <mergeCell ref="B172:M172"/>
    <mergeCell ref="B173:M173"/>
    <mergeCell ref="B174:M174"/>
    <mergeCell ref="B175:M175"/>
    <mergeCell ref="B176:M176"/>
    <mergeCell ref="B165:M165"/>
    <mergeCell ref="B166:M166"/>
    <mergeCell ref="B167:M167"/>
    <mergeCell ref="B168:M168"/>
    <mergeCell ref="B169:M169"/>
    <mergeCell ref="B170:M170"/>
    <mergeCell ref="B164:M164"/>
    <mergeCell ref="B28:M28"/>
    <mergeCell ref="B29:M29"/>
    <mergeCell ref="B44:M44"/>
    <mergeCell ref="B45:M45"/>
    <mergeCell ref="B47:M47"/>
    <mergeCell ref="B61:M61"/>
    <mergeCell ref="B62:M62"/>
    <mergeCell ref="B81:M81"/>
    <mergeCell ref="B100:M100"/>
    <mergeCell ref="B158:M158"/>
    <mergeCell ref="B159:M159"/>
    <mergeCell ref="B160:M160"/>
    <mergeCell ref="B161:M161"/>
    <mergeCell ref="B162:M162"/>
    <mergeCell ref="B163:M163"/>
    <mergeCell ref="B152:M152"/>
    <mergeCell ref="B153:M153"/>
    <mergeCell ref="B154:M154"/>
    <mergeCell ref="B155:M155"/>
    <mergeCell ref="B156:M156"/>
    <mergeCell ref="B157:M157"/>
    <mergeCell ref="B145:M145"/>
    <mergeCell ref="B146:M146"/>
    <mergeCell ref="B147:M147"/>
    <mergeCell ref="B148:M148"/>
    <mergeCell ref="B150:M150"/>
    <mergeCell ref="B151:M151"/>
    <mergeCell ref="B149:M149"/>
    <mergeCell ref="B139:M139"/>
    <mergeCell ref="B140:M140"/>
    <mergeCell ref="B141:M141"/>
    <mergeCell ref="B142:M142"/>
    <mergeCell ref="B143:M143"/>
    <mergeCell ref="B144:M144"/>
    <mergeCell ref="B133:M133"/>
    <mergeCell ref="B134:M134"/>
    <mergeCell ref="B135:M135"/>
    <mergeCell ref="B136:M136"/>
    <mergeCell ref="B137:M137"/>
    <mergeCell ref="B138:M138"/>
    <mergeCell ref="B126:M126"/>
    <mergeCell ref="B127:M127"/>
    <mergeCell ref="B128:M128"/>
    <mergeCell ref="B130:M130"/>
    <mergeCell ref="B131:M131"/>
    <mergeCell ref="B132:M132"/>
    <mergeCell ref="B129:M129"/>
    <mergeCell ref="B120:M120"/>
    <mergeCell ref="B121:M121"/>
    <mergeCell ref="B122:M122"/>
    <mergeCell ref="B123:M123"/>
    <mergeCell ref="B124:M124"/>
    <mergeCell ref="B125:M125"/>
    <mergeCell ref="B114:M114"/>
    <mergeCell ref="B115:M115"/>
    <mergeCell ref="B116:M116"/>
    <mergeCell ref="B117:M117"/>
    <mergeCell ref="B118:M118"/>
    <mergeCell ref="B119:M119"/>
    <mergeCell ref="B108:M108"/>
    <mergeCell ref="B109:M109"/>
    <mergeCell ref="B110:M110"/>
    <mergeCell ref="B111:M111"/>
    <mergeCell ref="B112:M112"/>
    <mergeCell ref="B113:M113"/>
    <mergeCell ref="B102:M102"/>
    <mergeCell ref="B103:M103"/>
    <mergeCell ref="B104:M104"/>
    <mergeCell ref="B105:M105"/>
    <mergeCell ref="B106:M106"/>
    <mergeCell ref="B107:M107"/>
    <mergeCell ref="B95:M95"/>
    <mergeCell ref="B96:M96"/>
    <mergeCell ref="B97:M97"/>
    <mergeCell ref="B98:M98"/>
    <mergeCell ref="B99:M99"/>
    <mergeCell ref="B101:M101"/>
    <mergeCell ref="B89:M89"/>
    <mergeCell ref="B90:M90"/>
    <mergeCell ref="B91:M91"/>
    <mergeCell ref="B92:M92"/>
    <mergeCell ref="B93:M93"/>
    <mergeCell ref="B94:M94"/>
    <mergeCell ref="B83:M83"/>
    <mergeCell ref="B84:M84"/>
    <mergeCell ref="B85:M85"/>
    <mergeCell ref="B86:M86"/>
    <mergeCell ref="B87:M87"/>
    <mergeCell ref="B88:M88"/>
    <mergeCell ref="B76:M76"/>
    <mergeCell ref="B77:M77"/>
    <mergeCell ref="B78:M78"/>
    <mergeCell ref="B79:M79"/>
    <mergeCell ref="B80:M80"/>
    <mergeCell ref="B82:M82"/>
    <mergeCell ref="B70:M70"/>
    <mergeCell ref="B71:M71"/>
    <mergeCell ref="B72:M72"/>
    <mergeCell ref="B73:M73"/>
    <mergeCell ref="B74:M74"/>
    <mergeCell ref="B75:M75"/>
    <mergeCell ref="B64:M64"/>
    <mergeCell ref="B65:M65"/>
    <mergeCell ref="B66:M66"/>
    <mergeCell ref="B67:M67"/>
    <mergeCell ref="B68:M68"/>
    <mergeCell ref="B69:M69"/>
    <mergeCell ref="B56:M56"/>
    <mergeCell ref="B57:M57"/>
    <mergeCell ref="B58:M58"/>
    <mergeCell ref="B59:M59"/>
    <mergeCell ref="B60:M60"/>
    <mergeCell ref="B63:M63"/>
    <mergeCell ref="B50:M50"/>
    <mergeCell ref="B51:M51"/>
    <mergeCell ref="B52:M52"/>
    <mergeCell ref="B53:M53"/>
    <mergeCell ref="B54:M54"/>
    <mergeCell ref="B55:M55"/>
    <mergeCell ref="B42:M42"/>
    <mergeCell ref="B43:M43"/>
    <mergeCell ref="B46:M46"/>
    <mergeCell ref="B48:M48"/>
    <mergeCell ref="B49:M49"/>
    <mergeCell ref="B36:M36"/>
    <mergeCell ref="B37:M37"/>
    <mergeCell ref="B38:M38"/>
    <mergeCell ref="B39:M39"/>
    <mergeCell ref="B40:M40"/>
    <mergeCell ref="B41:M41"/>
    <mergeCell ref="B30:M30"/>
    <mergeCell ref="B31:M31"/>
    <mergeCell ref="B32:M32"/>
    <mergeCell ref="B33:M33"/>
    <mergeCell ref="B34:M34"/>
    <mergeCell ref="B35:M35"/>
    <mergeCell ref="B23:M23"/>
    <mergeCell ref="B24:M24"/>
    <mergeCell ref="B25:M25"/>
    <mergeCell ref="B26:M26"/>
    <mergeCell ref="B27:M27"/>
    <mergeCell ref="B17:M17"/>
    <mergeCell ref="B18:M18"/>
    <mergeCell ref="B19:M19"/>
    <mergeCell ref="B20:M20"/>
    <mergeCell ref="B21:M21"/>
    <mergeCell ref="B22:M22"/>
    <mergeCell ref="D1:M1"/>
    <mergeCell ref="J2:M2"/>
    <mergeCell ref="K8:K9"/>
    <mergeCell ref="B12:M14"/>
    <mergeCell ref="B16:F16"/>
    <mergeCell ref="E4:M4"/>
  </mergeCells>
  <conditionalFormatting sqref="AB190:AE191 AE192:AE196">
    <cfRule type="expression" dxfId="6" priority="7">
      <formula>AF190=""</formula>
    </cfRule>
  </conditionalFormatting>
  <conditionalFormatting sqref="B17:M170">
    <cfRule type="expression" dxfId="5" priority="5">
      <formula>$B17&lt;&gt;" "</formula>
    </cfRule>
  </conditionalFormatting>
  <conditionalFormatting sqref="E4 C6:M6">
    <cfRule type="expression" dxfId="4" priority="1602">
      <formula>$E$4="Input the project name and AHP Project Number at the top of the 'Instructions' tab."</formula>
    </cfRule>
  </conditionalFormatting>
  <dataValidations count="1">
    <dataValidation type="custom" allowBlank="1" showInputMessage="1" showErrorMessage="1" sqref="B8:I8 B9:I9 J8:K9">
      <formula1>"&lt;0&gt;0"</formula1>
    </dataValidation>
  </dataValidations>
  <hyperlinks>
    <hyperlink ref="D9" location="'A(2)-Uses Statement'!H12" display="'A(2)-Uses Statement'!H12"/>
    <hyperlink ref="C9" location="'A(1)-Sources Stmt.'!D19" display="'A(1)-Sources Stmt.'!D19"/>
    <hyperlink ref="H9" location="'E-Feasibility Analysis'!M22" display="'E-Feasibility Analysis'!M22"/>
    <hyperlink ref="F9" location="'C(1)-Rental Operating ProForma'!L16" display="'C(1)-Rental Operating ProForma'!L16"/>
    <hyperlink ref="G9" location="'C(2)-Commercial ProForma'!K16" display="'C(2)-Commercial ProForma'!K16"/>
    <hyperlink ref="J9" location="'F-TIV'!Q17" display="'F-TIV'!Q17"/>
    <hyperlink ref="E9" location="'B-Rent Schedule'!D13" display="'B-Rent Schedule'!D13"/>
    <hyperlink ref="B9" location="'Project Info and Instructions'!F16" display="Project Info. &amp; Instructions"/>
    <hyperlink ref="I9" location="'E(2)-Sources &amp; Uses Analysis'!G19" display="Sources &amp; Uses Analysis"/>
  </hyperlinks>
  <pageMargins left="0.2" right="0.2" top="0.75" bottom="0.75" header="0.3" footer="0.3"/>
  <pageSetup scale="66" fitToHeight="5" orientation="portrait" r:id="rId1"/>
  <rowBreaks count="1" manualBreakCount="1">
    <brk id="81" max="12" man="1"/>
  </rowBreaks>
  <colBreaks count="1" manualBreakCount="1">
    <brk id="13" min="3" max="148" man="1"/>
  </colBreaks>
  <drawing r:id="rId2"/>
  <extLst>
    <ext xmlns:x14="http://schemas.microsoft.com/office/spreadsheetml/2009/9/main" uri="{78C0D931-6437-407d-A8EE-F0AAD7539E65}">
      <x14:conditionalFormattings>
        <x14:conditionalFormatting xmlns:xm="http://schemas.microsoft.com/office/excel/2006/main">
          <x14:cfRule type="expression" priority="11" id="{A871CE89-0AD0-45F8-B838-F3EC3C52FFDF}">
            <xm:f>'Project Info and Instructions'!$F$20="Owner-occupied"</xm:f>
            <x14:dxf>
              <font>
                <strike/>
                <color theme="0" tint="-0.34998626667073579"/>
              </font>
              <fill>
                <gradientFill degree="90">
                  <stop position="0">
                    <color theme="0" tint="-0.1490218817712943"/>
                  </stop>
                  <stop position="1">
                    <color theme="0" tint="-0.1490218817712943"/>
                  </stop>
                </gradientFill>
              </fill>
            </x14:dxf>
          </x14:cfRule>
          <xm:sqref>F9</xm:sqref>
        </x14:conditionalFormatting>
        <x14:conditionalFormatting xmlns:xm="http://schemas.microsoft.com/office/excel/2006/main">
          <x14:cfRule type="expression" priority="16" id="{26B4F33C-17BE-4845-AB2F-243CB9074798}">
            <xm:f>'Project Info and Instructions'!$F$22="No"</xm:f>
            <x14:dxf>
              <font>
                <strike/>
                <color theme="0" tint="-0.34998626667073579"/>
              </font>
              <fill>
                <patternFill>
                  <bgColor theme="0" tint="-0.14996795556505021"/>
                </patternFill>
              </fill>
            </x14:dxf>
          </x14:cfRule>
          <x14:cfRule type="expression" priority="17" id="{1A2A7496-62DC-4153-AA53-4248B0D5A0A8}">
            <xm:f>'Project Info and Instructions'!$F$20="Owner-occupied"</xm:f>
            <x14:dxf>
              <font>
                <strike/>
                <color theme="0" tint="-0.34998626667073579"/>
              </font>
              <fill>
                <patternFill>
                  <bgColor theme="0" tint="-0.14996795556505021"/>
                </patternFill>
              </fill>
            </x14:dxf>
          </x14:cfRule>
          <xm:sqref>G9</xm:sqref>
        </x14:conditionalFormatting>
        <x14:conditionalFormatting xmlns:xm="http://schemas.microsoft.com/office/excel/2006/main">
          <x14:cfRule type="expression" priority="1622" id="{3FE92D15-7000-4143-A7C4-9BE7350D656F}">
            <xm:f>'Project Info and Instructions'!$V$50&gt;6</xm:f>
            <x14:dxf>
              <font>
                <strike/>
                <color theme="0" tint="-0.34998626667073579"/>
              </font>
              <fill>
                <gradientFill degree="90">
                  <stop position="0">
                    <color theme="0" tint="-0.1490218817712943"/>
                  </stop>
                  <stop position="1">
                    <color theme="0" tint="-0.1490218817712943"/>
                  </stop>
                </gradientFill>
              </fill>
            </x14:dxf>
          </x14:cfRule>
          <xm:sqref>E9</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H79"/>
  <sheetViews>
    <sheetView showGridLines="0" workbookViewId="0">
      <selection activeCell="E72" sqref="E72:H79"/>
    </sheetView>
  </sheetViews>
  <sheetFormatPr defaultRowHeight="12.75"/>
  <cols>
    <col min="1" max="1" width="12.5703125" bestFit="1" customWidth="1"/>
    <col min="2" max="2" width="19.5703125" style="1179" bestFit="1" customWidth="1"/>
    <col min="3" max="3" width="9.140625" style="1179" bestFit="1" customWidth="1"/>
    <col min="4" max="4" width="19.42578125" style="1179" bestFit="1" customWidth="1"/>
    <col min="5" max="5" width="13.85546875" style="1179" bestFit="1" customWidth="1"/>
    <col min="6" max="6" width="16" style="1179" bestFit="1" customWidth="1"/>
    <col min="7" max="7" width="23" style="1179" bestFit="1" customWidth="1"/>
    <col min="8" max="8" width="13.5703125" style="1179" bestFit="1" customWidth="1"/>
  </cols>
  <sheetData>
    <row r="1" spans="1:8">
      <c r="A1" s="1185" t="s">
        <v>1081</v>
      </c>
      <c r="B1" s="1183" t="s">
        <v>1082</v>
      </c>
      <c r="C1" s="1183" t="s">
        <v>754</v>
      </c>
      <c r="D1" s="1183" t="s">
        <v>1083</v>
      </c>
      <c r="E1" s="1183" t="s">
        <v>721</v>
      </c>
      <c r="F1" s="1183" t="s">
        <v>780</v>
      </c>
      <c r="G1" s="1183" t="s">
        <v>722</v>
      </c>
      <c r="H1" s="1183" t="s">
        <v>723</v>
      </c>
    </row>
    <row r="2" spans="1:8">
      <c r="A2" s="1186" t="str">
        <f>C2&amp;", "&amp;B2</f>
        <v>Alaska, 995</v>
      </c>
      <c r="B2" s="1180">
        <v>995</v>
      </c>
      <c r="C2" s="1181" t="s">
        <v>389</v>
      </c>
      <c r="D2" s="1181" t="s">
        <v>1050</v>
      </c>
      <c r="E2" s="1182">
        <v>189.2213144751382</v>
      </c>
      <c r="F2" s="1182">
        <v>201.67480060773485</v>
      </c>
      <c r="G2" s="1182">
        <v>196.46558287292822</v>
      </c>
      <c r="H2" s="1182">
        <v>179.35323861878459</v>
      </c>
    </row>
    <row r="3" spans="1:8">
      <c r="A3" s="1186" t="str">
        <f t="shared" ref="A3:A66" si="0">C3&amp;", "&amp;B3</f>
        <v>Alaska, 996</v>
      </c>
      <c r="B3" s="1180">
        <v>996</v>
      </c>
      <c r="C3" s="1181" t="s">
        <v>389</v>
      </c>
      <c r="D3" s="1181" t="s">
        <v>1050</v>
      </c>
      <c r="E3" s="1182">
        <v>189.2213144751382</v>
      </c>
      <c r="F3" s="1182">
        <v>201.67480060773485</v>
      </c>
      <c r="G3" s="1182">
        <v>196.46558287292822</v>
      </c>
      <c r="H3" s="1182">
        <v>179.35323861878459</v>
      </c>
    </row>
    <row r="4" spans="1:8">
      <c r="A4" s="1186" t="str">
        <f t="shared" si="0"/>
        <v>Alaska, 997</v>
      </c>
      <c r="B4" s="1180">
        <v>997</v>
      </c>
      <c r="C4" s="1181" t="s">
        <v>389</v>
      </c>
      <c r="D4" s="1181" t="s">
        <v>1051</v>
      </c>
      <c r="E4" s="1182">
        <v>190.62246575342465</v>
      </c>
      <c r="F4" s="1182">
        <v>203.16816780821915</v>
      </c>
      <c r="G4" s="1182">
        <v>197.92037671232873</v>
      </c>
      <c r="H4" s="1182">
        <v>180.68131849315066</v>
      </c>
    </row>
    <row r="5" spans="1:8">
      <c r="A5" s="1186" t="str">
        <f t="shared" si="0"/>
        <v>Alaska, 998</v>
      </c>
      <c r="B5" s="1180">
        <v>998</v>
      </c>
      <c r="C5" s="1181" t="s">
        <v>389</v>
      </c>
      <c r="D5" s="1181" t="s">
        <v>755</v>
      </c>
      <c r="E5" s="1182">
        <v>189.10651492173906</v>
      </c>
      <c r="F5" s="1182">
        <v>201.55244559130426</v>
      </c>
      <c r="G5" s="1182">
        <v>196.34638826086947</v>
      </c>
      <c r="H5" s="1182">
        <v>179.24442597391297</v>
      </c>
    </row>
    <row r="6" spans="1:8">
      <c r="A6" s="1186" t="str">
        <f t="shared" si="0"/>
        <v>Alaska, 999</v>
      </c>
      <c r="B6" s="1180">
        <v>999</v>
      </c>
      <c r="C6" s="1181" t="s">
        <v>389</v>
      </c>
      <c r="D6" s="1181" t="s">
        <v>756</v>
      </c>
      <c r="E6" s="1182">
        <v>200.04220729354049</v>
      </c>
      <c r="F6" s="1182">
        <v>213.20786392886345</v>
      </c>
      <c r="G6" s="1182">
        <v>207.70074959116926</v>
      </c>
      <c r="H6" s="1182">
        <v>189.6098113368765</v>
      </c>
    </row>
    <row r="7" spans="1:8">
      <c r="A7" s="1186" t="str">
        <f t="shared" si="0"/>
        <v>Hawaii, 967</v>
      </c>
      <c r="B7" s="1180">
        <v>967</v>
      </c>
      <c r="C7" s="1181" t="s">
        <v>390</v>
      </c>
      <c r="D7" s="1181" t="s">
        <v>758</v>
      </c>
      <c r="E7" s="1182">
        <v>188.4849185185185</v>
      </c>
      <c r="F7" s="1182">
        <v>200.88993919753088</v>
      </c>
      <c r="G7" s="1182">
        <v>195.70099426807764</v>
      </c>
      <c r="H7" s="1182">
        <v>178.65524642857144</v>
      </c>
    </row>
    <row r="8" spans="1:8">
      <c r="A8" s="1186" t="str">
        <f t="shared" si="0"/>
        <v>Hawaii, 968</v>
      </c>
      <c r="B8" s="1180">
        <v>968</v>
      </c>
      <c r="C8" s="1181" t="s">
        <v>390</v>
      </c>
      <c r="D8" s="1181" t="s">
        <v>1052</v>
      </c>
      <c r="E8" s="1182">
        <v>192.57261615550757</v>
      </c>
      <c r="F8" s="1182">
        <v>205.24666617710585</v>
      </c>
      <c r="G8" s="1182">
        <v>199.94518790496764</v>
      </c>
      <c r="H8" s="1182">
        <v>182.52976665226782</v>
      </c>
    </row>
    <row r="9" spans="1:8">
      <c r="A9" s="1186" t="str">
        <f t="shared" si="0"/>
        <v>Guam, 969</v>
      </c>
      <c r="B9" s="1180">
        <v>969</v>
      </c>
      <c r="C9" s="1181" t="s">
        <v>190</v>
      </c>
      <c r="D9" s="1181" t="s">
        <v>757</v>
      </c>
      <c r="E9" s="1182">
        <v>164.30759041965197</v>
      </c>
      <c r="F9" s="1182">
        <v>175.12139490276354</v>
      </c>
      <c r="G9" s="1182">
        <v>170.59804605936537</v>
      </c>
      <c r="H9" s="1182">
        <v>155.7387895394063</v>
      </c>
    </row>
    <row r="10" spans="1:8">
      <c r="A10" s="1186" t="str">
        <f t="shared" si="0"/>
        <v>Idaho, 832</v>
      </c>
      <c r="B10" s="1180">
        <v>832</v>
      </c>
      <c r="C10" s="1181" t="s">
        <v>391</v>
      </c>
      <c r="D10" s="1181" t="s">
        <v>1053</v>
      </c>
      <c r="E10" s="1182">
        <v>148.52570147859925</v>
      </c>
      <c r="F10" s="1182">
        <v>158.30083050583661</v>
      </c>
      <c r="G10" s="1182">
        <v>154.21195330739303</v>
      </c>
      <c r="H10" s="1182">
        <v>140.77994147859923</v>
      </c>
    </row>
    <row r="11" spans="1:8">
      <c r="A11" s="1186" t="str">
        <f t="shared" si="0"/>
        <v>Idaho, 833</v>
      </c>
      <c r="B11" s="1180">
        <v>833</v>
      </c>
      <c r="C11" s="1181" t="s">
        <v>391</v>
      </c>
      <c r="D11" s="1181" t="s">
        <v>759</v>
      </c>
      <c r="E11" s="1182">
        <v>148.53718051044086</v>
      </c>
      <c r="F11" s="1182">
        <v>158.31306502320189</v>
      </c>
      <c r="G11" s="1182">
        <v>154.22387180974482</v>
      </c>
      <c r="H11" s="1182">
        <v>140.79082186774943</v>
      </c>
    </row>
    <row r="12" spans="1:8">
      <c r="A12" s="1186" t="str">
        <f t="shared" si="0"/>
        <v>Idaho, 834</v>
      </c>
      <c r="B12" s="1180">
        <v>834</v>
      </c>
      <c r="C12" s="1181" t="s">
        <v>391</v>
      </c>
      <c r="D12" s="1181" t="s">
        <v>1054</v>
      </c>
      <c r="E12" s="1182">
        <v>146.61306698002352</v>
      </c>
      <c r="F12" s="1182">
        <v>156.26231712690955</v>
      </c>
      <c r="G12" s="1182">
        <v>152.22609430082258</v>
      </c>
      <c r="H12" s="1182">
        <v>138.96705273207991</v>
      </c>
    </row>
    <row r="13" spans="1:8">
      <c r="A13" s="1186" t="str">
        <f t="shared" si="0"/>
        <v>Idaho, 835</v>
      </c>
      <c r="B13" s="1180">
        <v>835</v>
      </c>
      <c r="C13" s="1181" t="s">
        <v>391</v>
      </c>
      <c r="D13" s="1181" t="s">
        <v>1055</v>
      </c>
      <c r="E13" s="1182">
        <v>159.32318036101077</v>
      </c>
      <c r="F13" s="1182">
        <v>169.80893891696752</v>
      </c>
      <c r="G13" s="1182">
        <v>165.42280969571942</v>
      </c>
      <c r="H13" s="1182">
        <v>151.01432132026818</v>
      </c>
    </row>
    <row r="14" spans="1:8">
      <c r="A14" s="1186" t="str">
        <f t="shared" si="0"/>
        <v>Idaho, 836</v>
      </c>
      <c r="B14" s="1180">
        <v>836</v>
      </c>
      <c r="C14" s="1181" t="s">
        <v>391</v>
      </c>
      <c r="D14" s="1181" t="s">
        <v>1056</v>
      </c>
      <c r="E14" s="1182">
        <v>147.85300596881959</v>
      </c>
      <c r="F14" s="1182">
        <v>157.58386194877502</v>
      </c>
      <c r="G14" s="1182">
        <v>153.51350389755007</v>
      </c>
      <c r="H14" s="1182">
        <v>140.14232769487748</v>
      </c>
    </row>
    <row r="15" spans="1:8">
      <c r="A15" s="1186" t="str">
        <f t="shared" si="0"/>
        <v>Idaho, 837</v>
      </c>
      <c r="B15" s="1180">
        <v>837</v>
      </c>
      <c r="C15" s="1181" t="s">
        <v>391</v>
      </c>
      <c r="D15" s="1181" t="s">
        <v>1056</v>
      </c>
      <c r="E15" s="1182">
        <v>147.85300596881959</v>
      </c>
      <c r="F15" s="1182">
        <v>157.58386194877502</v>
      </c>
      <c r="G15" s="1182">
        <v>153.51350389755007</v>
      </c>
      <c r="H15" s="1182">
        <v>140.14232769487748</v>
      </c>
    </row>
    <row r="16" spans="1:8">
      <c r="A16" s="1186" t="str">
        <f t="shared" si="0"/>
        <v>Idaho, 838</v>
      </c>
      <c r="B16" s="1180">
        <v>838</v>
      </c>
      <c r="C16" s="1181" t="s">
        <v>391</v>
      </c>
      <c r="D16" s="1181" t="s">
        <v>1057</v>
      </c>
      <c r="E16" s="1182">
        <v>158.32403648535572</v>
      </c>
      <c r="F16" s="1182">
        <v>168.74403699267793</v>
      </c>
      <c r="G16" s="1182">
        <v>164.38541396443526</v>
      </c>
      <c r="H16" s="1182">
        <v>150.06728377092054</v>
      </c>
    </row>
    <row r="17" spans="1:8">
      <c r="A17" s="1186" t="str">
        <f t="shared" si="0"/>
        <v>Montana, 590</v>
      </c>
      <c r="B17" s="1180">
        <v>590</v>
      </c>
      <c r="C17" s="1181" t="s">
        <v>393</v>
      </c>
      <c r="D17" s="1181" t="s">
        <v>1058</v>
      </c>
      <c r="E17" s="1182">
        <v>145.62739625484764</v>
      </c>
      <c r="F17" s="1182">
        <v>155.21177508033242</v>
      </c>
      <c r="G17" s="1182">
        <v>151.20268753462605</v>
      </c>
      <c r="H17" s="1182">
        <v>138.03278569529081</v>
      </c>
    </row>
    <row r="18" spans="1:8">
      <c r="A18" s="1186" t="str">
        <f t="shared" si="0"/>
        <v>Montana, 591</v>
      </c>
      <c r="B18" s="1180">
        <v>591</v>
      </c>
      <c r="C18" s="1181" t="s">
        <v>393</v>
      </c>
      <c r="D18" s="1181" t="s">
        <v>1058</v>
      </c>
      <c r="E18" s="1182">
        <v>145.62739625484764</v>
      </c>
      <c r="F18" s="1182">
        <v>155.21177508033242</v>
      </c>
      <c r="G18" s="1182">
        <v>151.20268753462605</v>
      </c>
      <c r="H18" s="1182">
        <v>138.03278569529081</v>
      </c>
    </row>
    <row r="19" spans="1:8">
      <c r="A19" s="1186" t="str">
        <f t="shared" si="0"/>
        <v>Montana, 592</v>
      </c>
      <c r="B19" s="1180">
        <v>592</v>
      </c>
      <c r="C19" s="1181" t="s">
        <v>393</v>
      </c>
      <c r="D19" s="1181" t="s">
        <v>765</v>
      </c>
      <c r="E19" s="1182">
        <v>145.75793385826773</v>
      </c>
      <c r="F19" s="1182">
        <v>155.3509039370079</v>
      </c>
      <c r="G19" s="1182">
        <v>151.33822272215971</v>
      </c>
      <c r="H19" s="1182">
        <v>138.15651563554553</v>
      </c>
    </row>
    <row r="20" spans="1:8">
      <c r="A20" s="1186" t="str">
        <f t="shared" si="0"/>
        <v>Montana, 593</v>
      </c>
      <c r="B20" s="1180">
        <v>593</v>
      </c>
      <c r="C20" s="1181" t="s">
        <v>393</v>
      </c>
      <c r="D20" s="1181" t="s">
        <v>764</v>
      </c>
      <c r="E20" s="1182">
        <v>143.99649792</v>
      </c>
      <c r="F20" s="1182">
        <v>153.47354015999997</v>
      </c>
      <c r="G20" s="1182">
        <v>149.50935085714283</v>
      </c>
      <c r="H20" s="1182">
        <v>136.48694029714284</v>
      </c>
    </row>
    <row r="21" spans="1:8">
      <c r="A21" s="1186" t="str">
        <f t="shared" si="0"/>
        <v>Montana, 594</v>
      </c>
      <c r="B21" s="1180">
        <v>594</v>
      </c>
      <c r="C21" s="1181" t="s">
        <v>393</v>
      </c>
      <c r="D21" s="1181" t="s">
        <v>1059</v>
      </c>
      <c r="E21" s="1182">
        <v>146.14608503589184</v>
      </c>
      <c r="F21" s="1182">
        <v>155.76460104914418</v>
      </c>
      <c r="G21" s="1182">
        <v>151.74123412479295</v>
      </c>
      <c r="H21" s="1182">
        <v>138.52442435118721</v>
      </c>
    </row>
    <row r="22" spans="1:8">
      <c r="A22" s="1186" t="str">
        <f t="shared" si="0"/>
        <v>Montana, 595</v>
      </c>
      <c r="B22" s="1180">
        <v>595</v>
      </c>
      <c r="C22" s="1181" t="s">
        <v>393</v>
      </c>
      <c r="D22" s="1181" t="s">
        <v>761</v>
      </c>
      <c r="E22" s="1182">
        <v>143.96514805771363</v>
      </c>
      <c r="F22" s="1182">
        <v>153.44012702552723</v>
      </c>
      <c r="G22" s="1182">
        <v>149.47680077691453</v>
      </c>
      <c r="H22" s="1182">
        <v>136.45722536071034</v>
      </c>
    </row>
    <row r="23" spans="1:8" s="47" customFormat="1">
      <c r="A23" s="1186" t="str">
        <f t="shared" si="0"/>
        <v>Montana, 596</v>
      </c>
      <c r="B23" s="1180">
        <v>596</v>
      </c>
      <c r="C23" s="1181" t="s">
        <v>393</v>
      </c>
      <c r="D23" s="1181" t="s">
        <v>762</v>
      </c>
      <c r="E23" s="1182">
        <v>144.47270897017447</v>
      </c>
      <c r="F23" s="1182">
        <v>153.98109275182892</v>
      </c>
      <c r="G23" s="1182">
        <v>150.00379347214408</v>
      </c>
      <c r="H23" s="1182">
        <v>136.93831647720879</v>
      </c>
    </row>
    <row r="24" spans="1:8">
      <c r="A24" s="1186" t="str">
        <f t="shared" si="0"/>
        <v>Montana, 597</v>
      </c>
      <c r="B24" s="1180">
        <v>597</v>
      </c>
      <c r="C24" s="1181" t="s">
        <v>393</v>
      </c>
      <c r="D24" s="1181" t="s">
        <v>760</v>
      </c>
      <c r="E24" s="1182">
        <v>144.9572431315936</v>
      </c>
      <c r="F24" s="1182">
        <v>154.49751623542471</v>
      </c>
      <c r="G24" s="1182">
        <v>150.50687784564133</v>
      </c>
      <c r="H24" s="1182">
        <v>137.39758171016101</v>
      </c>
    </row>
    <row r="25" spans="1:8">
      <c r="A25" s="1186" t="str">
        <f t="shared" si="0"/>
        <v>Montana, 598</v>
      </c>
      <c r="B25" s="1180">
        <v>598</v>
      </c>
      <c r="C25" s="1181" t="s">
        <v>393</v>
      </c>
      <c r="D25" s="1181" t="s">
        <v>1060</v>
      </c>
      <c r="E25" s="1182">
        <v>141.90309640677964</v>
      </c>
      <c r="F25" s="1182">
        <v>151.24236269491522</v>
      </c>
      <c r="G25" s="1182">
        <v>147.3358042372881</v>
      </c>
      <c r="H25" s="1182">
        <v>134.50271171186438</v>
      </c>
    </row>
    <row r="26" spans="1:8">
      <c r="A26" s="1186" t="str">
        <f t="shared" si="0"/>
        <v>Montana, 599</v>
      </c>
      <c r="B26" s="1180">
        <v>599</v>
      </c>
      <c r="C26" s="1181" t="s">
        <v>393</v>
      </c>
      <c r="D26" s="1181" t="s">
        <v>763</v>
      </c>
      <c r="E26" s="1182">
        <v>141.79401984000009</v>
      </c>
      <c r="F26" s="1182">
        <v>151.12610731999999</v>
      </c>
      <c r="G26" s="1182">
        <v>147.22255171428574</v>
      </c>
      <c r="H26" s="1182">
        <v>134.39932359428576</v>
      </c>
    </row>
    <row r="27" spans="1:8">
      <c r="A27" s="1186" t="str">
        <f t="shared" si="0"/>
        <v>Oregon, 970</v>
      </c>
      <c r="B27" s="1180">
        <v>970</v>
      </c>
      <c r="C27" s="1181" t="s">
        <v>394</v>
      </c>
      <c r="D27" s="1181" t="s">
        <v>1061</v>
      </c>
      <c r="E27" s="1182">
        <v>161.79636809815946</v>
      </c>
      <c r="F27" s="1182">
        <v>172.44489800613493</v>
      </c>
      <c r="G27" s="1182">
        <v>167.99068251533737</v>
      </c>
      <c r="H27" s="1182">
        <v>153.35852990797542</v>
      </c>
    </row>
    <row r="28" spans="1:8">
      <c r="A28" s="1186" t="str">
        <f t="shared" si="0"/>
        <v>Oregon, 971</v>
      </c>
      <c r="B28" s="1180">
        <v>971</v>
      </c>
      <c r="C28" s="1181" t="s">
        <v>394</v>
      </c>
      <c r="D28" s="1181" t="s">
        <v>1061</v>
      </c>
      <c r="E28" s="1182">
        <v>161.79636809815946</v>
      </c>
      <c r="F28" s="1182">
        <v>172.44489800613493</v>
      </c>
      <c r="G28" s="1182">
        <v>167.99068251533737</v>
      </c>
      <c r="H28" s="1182">
        <v>153.35852990797542</v>
      </c>
    </row>
    <row r="29" spans="1:8">
      <c r="A29" s="1186" t="str">
        <f t="shared" si="0"/>
        <v>Oregon, 972</v>
      </c>
      <c r="B29" s="1180">
        <v>972</v>
      </c>
      <c r="C29" s="1181" t="s">
        <v>394</v>
      </c>
      <c r="D29" s="1181" t="s">
        <v>1061</v>
      </c>
      <c r="E29" s="1182">
        <v>161.79636809815946</v>
      </c>
      <c r="F29" s="1182">
        <v>172.44489800613493</v>
      </c>
      <c r="G29" s="1182">
        <v>167.99068251533737</v>
      </c>
      <c r="H29" s="1182">
        <v>153.35852990797542</v>
      </c>
    </row>
    <row r="30" spans="1:8">
      <c r="A30" s="1186" t="str">
        <f t="shared" si="0"/>
        <v>Oregon, 973</v>
      </c>
      <c r="B30" s="1180">
        <v>973</v>
      </c>
      <c r="C30" s="1181" t="s">
        <v>394</v>
      </c>
      <c r="D30" s="1181" t="s">
        <v>1062</v>
      </c>
      <c r="E30" s="1182">
        <v>161.63341917304743</v>
      </c>
      <c r="F30" s="1182">
        <v>172.27122469627363</v>
      </c>
      <c r="G30" s="1182">
        <v>167.821495150587</v>
      </c>
      <c r="H30" s="1182">
        <v>153.20407892802447</v>
      </c>
    </row>
    <row r="31" spans="1:8">
      <c r="A31" s="1186" t="str">
        <f t="shared" si="0"/>
        <v>Oregon, 974</v>
      </c>
      <c r="B31" s="1180">
        <v>974</v>
      </c>
      <c r="C31" s="1181" t="s">
        <v>394</v>
      </c>
      <c r="D31" s="1181" t="s">
        <v>1063</v>
      </c>
      <c r="E31" s="1182">
        <v>160.22514983050849</v>
      </c>
      <c r="F31" s="1182">
        <v>170.770270960452</v>
      </c>
      <c r="G31" s="1182">
        <v>166.35931073446324</v>
      </c>
      <c r="H31" s="1182">
        <v>151.86925220338978</v>
      </c>
    </row>
    <row r="32" spans="1:8">
      <c r="A32" s="1186" t="str">
        <f t="shared" si="0"/>
        <v>Oregon, 975</v>
      </c>
      <c r="B32" s="1180">
        <v>975</v>
      </c>
      <c r="C32" s="1181" t="s">
        <v>394</v>
      </c>
      <c r="D32" s="1181" t="s">
        <v>1064</v>
      </c>
      <c r="E32" s="1182">
        <v>159.61997333333329</v>
      </c>
      <c r="F32" s="1182">
        <v>170.12526513888884</v>
      </c>
      <c r="G32" s="1182">
        <v>165.73096527777776</v>
      </c>
      <c r="H32" s="1182">
        <v>151.29563624999997</v>
      </c>
    </row>
    <row r="33" spans="1:8">
      <c r="A33" s="1186" t="str">
        <f t="shared" si="0"/>
        <v>Oregon, 976</v>
      </c>
      <c r="B33" s="1180">
        <v>976</v>
      </c>
      <c r="C33" s="1181" t="s">
        <v>394</v>
      </c>
      <c r="D33" s="1181" t="s">
        <v>766</v>
      </c>
      <c r="E33" s="1182">
        <v>160.54059909278348</v>
      </c>
      <c r="F33" s="1182">
        <v>171.10648132474222</v>
      </c>
      <c r="G33" s="1182">
        <v>166.68683685567009</v>
      </c>
      <c r="H33" s="1182">
        <v>152.16825047938147</v>
      </c>
    </row>
    <row r="34" spans="1:8">
      <c r="A34" s="1186" t="str">
        <f t="shared" si="0"/>
        <v>Oregon, 977</v>
      </c>
      <c r="B34" s="1180">
        <v>977</v>
      </c>
      <c r="C34" s="1181" t="s">
        <v>394</v>
      </c>
      <c r="D34" s="1181" t="s">
        <v>1065</v>
      </c>
      <c r="E34" s="1182">
        <v>160.8981385846154</v>
      </c>
      <c r="F34" s="1182">
        <v>171.48755206153842</v>
      </c>
      <c r="G34" s="1182">
        <v>167.05806461538455</v>
      </c>
      <c r="H34" s="1182">
        <v>152.50714393846152</v>
      </c>
    </row>
    <row r="35" spans="1:8">
      <c r="A35" s="1186" t="str">
        <f t="shared" si="0"/>
        <v>Oregon, 978</v>
      </c>
      <c r="B35" s="1180">
        <v>978</v>
      </c>
      <c r="C35" s="1181" t="s">
        <v>394</v>
      </c>
      <c r="D35" s="1181" t="s">
        <v>767</v>
      </c>
      <c r="E35" s="1182">
        <v>157.98845607476639</v>
      </c>
      <c r="F35" s="1182">
        <v>168.38637056074765</v>
      </c>
      <c r="G35" s="1182">
        <v>164.03698598130842</v>
      </c>
      <c r="H35" s="1182">
        <v>149.7492042056075</v>
      </c>
    </row>
    <row r="36" spans="1:8">
      <c r="A36" s="1186" t="str">
        <f t="shared" si="0"/>
        <v>Oregon, 979</v>
      </c>
      <c r="B36" s="1180">
        <v>979</v>
      </c>
      <c r="C36" s="1181" t="s">
        <v>394</v>
      </c>
      <c r="D36" s="1181" t="s">
        <v>768</v>
      </c>
      <c r="E36" s="1182">
        <v>147.39105015025041</v>
      </c>
      <c r="F36" s="1182">
        <v>157.09150278797998</v>
      </c>
      <c r="G36" s="1182">
        <v>153.03386227045075</v>
      </c>
      <c r="H36" s="1182">
        <v>139.70446332220365</v>
      </c>
    </row>
    <row r="37" spans="1:8">
      <c r="A37" s="1186" t="str">
        <f t="shared" si="0"/>
        <v>Utah, 840</v>
      </c>
      <c r="B37" s="1180">
        <v>840</v>
      </c>
      <c r="C37" s="1181" t="s">
        <v>392</v>
      </c>
      <c r="D37" s="1181" t="s">
        <v>1066</v>
      </c>
      <c r="E37" s="1182">
        <v>144.9895653068381</v>
      </c>
      <c r="F37" s="1182">
        <v>154.53196567504381</v>
      </c>
      <c r="G37" s="1182">
        <v>150.54043746347165</v>
      </c>
      <c r="H37" s="1182">
        <v>137.4282182524839</v>
      </c>
    </row>
    <row r="38" spans="1:8">
      <c r="A38" s="1186" t="str">
        <f t="shared" si="0"/>
        <v>Utah, 841</v>
      </c>
      <c r="B38" s="1180">
        <v>841</v>
      </c>
      <c r="C38" s="1181" t="s">
        <v>392</v>
      </c>
      <c r="D38" s="1181" t="s">
        <v>1066</v>
      </c>
      <c r="E38" s="1182">
        <v>144.9895653068381</v>
      </c>
      <c r="F38" s="1182">
        <v>154.53196567504381</v>
      </c>
      <c r="G38" s="1182">
        <v>150.54043746347165</v>
      </c>
      <c r="H38" s="1182">
        <v>137.4282182524839</v>
      </c>
    </row>
    <row r="39" spans="1:8">
      <c r="A39" s="1186" t="str">
        <f t="shared" si="0"/>
        <v>Utah, 842</v>
      </c>
      <c r="B39" s="1180">
        <v>842</v>
      </c>
      <c r="C39" s="1181" t="s">
        <v>392</v>
      </c>
      <c r="D39" s="1181" t="s">
        <v>1067</v>
      </c>
      <c r="E39" s="1182">
        <v>141.10557001767825</v>
      </c>
      <c r="F39" s="1182">
        <v>150.39234758986441</v>
      </c>
      <c r="G39" s="1182">
        <v>146.50774484384206</v>
      </c>
      <c r="H39" s="1182">
        <v>133.74677710076605</v>
      </c>
    </row>
    <row r="40" spans="1:8">
      <c r="A40" s="1186" t="str">
        <f t="shared" si="0"/>
        <v>Utah, 843</v>
      </c>
      <c r="B40" s="1180">
        <v>843</v>
      </c>
      <c r="C40" s="1181" t="s">
        <v>392</v>
      </c>
      <c r="D40" s="1181" t="s">
        <v>1068</v>
      </c>
      <c r="E40" s="1182">
        <v>142.59992271914132</v>
      </c>
      <c r="F40" s="1182">
        <v>151.98505020870601</v>
      </c>
      <c r="G40" s="1182">
        <v>148.05930828861065</v>
      </c>
      <c r="H40" s="1182">
        <v>135.16319785330947</v>
      </c>
    </row>
    <row r="41" spans="1:8">
      <c r="A41" s="1186" t="str">
        <f t="shared" si="0"/>
        <v>Utah, 844</v>
      </c>
      <c r="B41" s="1180">
        <v>844</v>
      </c>
      <c r="C41" s="1181" t="s">
        <v>392</v>
      </c>
      <c r="D41" s="1181" t="s">
        <v>1067</v>
      </c>
      <c r="E41" s="1182">
        <v>141.10557001767825</v>
      </c>
      <c r="F41" s="1182">
        <v>150.39234758986441</v>
      </c>
      <c r="G41" s="1182">
        <v>146.50774484384206</v>
      </c>
      <c r="H41" s="1182">
        <v>133.74677710076605</v>
      </c>
    </row>
    <row r="42" spans="1:8">
      <c r="A42" s="1186" t="str">
        <f t="shared" si="0"/>
        <v>Utah, 845</v>
      </c>
      <c r="B42" s="1180">
        <v>845</v>
      </c>
      <c r="C42" s="1181" t="s">
        <v>392</v>
      </c>
      <c r="D42" s="1181" t="s">
        <v>769</v>
      </c>
      <c r="E42" s="1182">
        <v>142.41772455089821</v>
      </c>
      <c r="F42" s="1182">
        <v>151.79086077844309</v>
      </c>
      <c r="G42" s="1182">
        <v>147.87013473053889</v>
      </c>
      <c r="H42" s="1182">
        <v>134.99050149700597</v>
      </c>
    </row>
    <row r="43" spans="1:8">
      <c r="A43" s="1186" t="str">
        <f t="shared" si="0"/>
        <v>Utah, 846</v>
      </c>
      <c r="B43" s="1180">
        <v>846</v>
      </c>
      <c r="C43" s="1181" t="s">
        <v>392</v>
      </c>
      <c r="D43" s="1181" t="s">
        <v>1069</v>
      </c>
      <c r="E43" s="1182">
        <v>143.06924614107876</v>
      </c>
      <c r="F43" s="1182">
        <v>152.48526186721989</v>
      </c>
      <c r="G43" s="1182">
        <v>148.54659958506218</v>
      </c>
      <c r="H43" s="1182">
        <v>135.60804560165968</v>
      </c>
    </row>
    <row r="44" spans="1:8">
      <c r="A44" s="1186" t="str">
        <f t="shared" si="0"/>
        <v>Utah, 847</v>
      </c>
      <c r="B44" s="1180">
        <v>847</v>
      </c>
      <c r="C44" s="1181" t="s">
        <v>392</v>
      </c>
      <c r="D44" s="1181" t="s">
        <v>1069</v>
      </c>
      <c r="E44" s="1182">
        <v>143.06924614107876</v>
      </c>
      <c r="F44" s="1182">
        <v>152.48526186721989</v>
      </c>
      <c r="G44" s="1182">
        <v>148.54659958506218</v>
      </c>
      <c r="H44" s="1182">
        <v>135.60804560165968</v>
      </c>
    </row>
    <row r="45" spans="1:8">
      <c r="A45" s="1186" t="str">
        <f t="shared" si="0"/>
        <v>Washington, 980</v>
      </c>
      <c r="B45" s="1180">
        <v>980</v>
      </c>
      <c r="C45" s="1181" t="s">
        <v>395</v>
      </c>
      <c r="D45" s="1181" t="s">
        <v>1070</v>
      </c>
      <c r="E45" s="1182">
        <v>169.30405663716815</v>
      </c>
      <c r="F45" s="1182">
        <v>180.44670051622418</v>
      </c>
      <c r="G45" s="1182">
        <v>175.78580014749267</v>
      </c>
      <c r="H45" s="1182">
        <v>160.47468517699119</v>
      </c>
    </row>
    <row r="46" spans="1:8">
      <c r="A46" s="1186" t="str">
        <f t="shared" si="0"/>
        <v>Washington, 981</v>
      </c>
      <c r="B46" s="1180">
        <v>981</v>
      </c>
      <c r="C46" s="1181" t="s">
        <v>395</v>
      </c>
      <c r="D46" s="1181" t="s">
        <v>1070</v>
      </c>
      <c r="E46" s="1182">
        <v>169.30405663716815</v>
      </c>
      <c r="F46" s="1182">
        <v>180.44670051622418</v>
      </c>
      <c r="G46" s="1182">
        <v>175.78580014749267</v>
      </c>
      <c r="H46" s="1182">
        <v>160.47468517699119</v>
      </c>
    </row>
    <row r="47" spans="1:8">
      <c r="A47" s="1186" t="str">
        <f t="shared" si="0"/>
        <v>Washington, 982</v>
      </c>
      <c r="B47" s="1180">
        <v>982</v>
      </c>
      <c r="C47" s="1181" t="s">
        <v>395</v>
      </c>
      <c r="D47" s="1181" t="s">
        <v>1071</v>
      </c>
      <c r="E47" s="1182">
        <v>164.85343613293051</v>
      </c>
      <c r="F47" s="1182">
        <v>175.70316512084588</v>
      </c>
      <c r="G47" s="1182">
        <v>171.16478927492443</v>
      </c>
      <c r="H47" s="1182">
        <v>156.25616886706942</v>
      </c>
    </row>
    <row r="48" spans="1:8">
      <c r="A48" s="1186" t="str">
        <f t="shared" si="0"/>
        <v>Washington, 983</v>
      </c>
      <c r="B48" s="1180">
        <v>983</v>
      </c>
      <c r="C48" s="1181" t="s">
        <v>395</v>
      </c>
      <c r="D48" s="1181" t="s">
        <v>1072</v>
      </c>
      <c r="E48" s="1182">
        <v>165.14136397790054</v>
      </c>
      <c r="F48" s="1182">
        <v>176.01004276243086</v>
      </c>
      <c r="G48" s="1182">
        <v>171.46374033149164</v>
      </c>
      <c r="H48" s="1182">
        <v>156.52908099447507</v>
      </c>
    </row>
    <row r="49" spans="1:8">
      <c r="A49" s="1186" t="str">
        <f t="shared" si="0"/>
        <v>Washington, 984</v>
      </c>
      <c r="B49" s="1180">
        <v>984</v>
      </c>
      <c r="C49" s="1181" t="s">
        <v>395</v>
      </c>
      <c r="D49" s="1181" t="s">
        <v>1072</v>
      </c>
      <c r="E49" s="1182">
        <v>165.14136397790054</v>
      </c>
      <c r="F49" s="1182">
        <v>176.01004276243086</v>
      </c>
      <c r="G49" s="1182">
        <v>171.46374033149164</v>
      </c>
      <c r="H49" s="1182">
        <v>156.52908099447507</v>
      </c>
    </row>
    <row r="50" spans="1:8">
      <c r="A50" s="1186" t="str">
        <f t="shared" si="0"/>
        <v>Washington, 985</v>
      </c>
      <c r="B50" s="1180">
        <v>985</v>
      </c>
      <c r="C50" s="1181" t="s">
        <v>395</v>
      </c>
      <c r="D50" s="1181" t="s">
        <v>1073</v>
      </c>
      <c r="E50" s="1182">
        <v>163.45235541984729</v>
      </c>
      <c r="F50" s="1182">
        <v>174.20987312977093</v>
      </c>
      <c r="G50" s="1182">
        <v>169.71006870229002</v>
      </c>
      <c r="H50" s="1182">
        <v>154.92815587786257</v>
      </c>
    </row>
    <row r="51" spans="1:8">
      <c r="A51" s="1186" t="str">
        <f t="shared" si="0"/>
        <v>Washington, 986</v>
      </c>
      <c r="B51" s="1180">
        <v>986</v>
      </c>
      <c r="C51" s="1181" t="s">
        <v>395</v>
      </c>
      <c r="D51" s="1181" t="s">
        <v>1074</v>
      </c>
      <c r="E51" s="1182">
        <v>162.34600312114983</v>
      </c>
      <c r="F51" s="1182">
        <v>173.03070692505128</v>
      </c>
      <c r="G51" s="1182">
        <v>168.56136011293628</v>
      </c>
      <c r="H51" s="1182">
        <v>153.87950092915807</v>
      </c>
    </row>
    <row r="52" spans="1:8">
      <c r="A52" s="1186" t="str">
        <f t="shared" si="0"/>
        <v>Washington, 987</v>
      </c>
      <c r="B52" s="1180">
        <v>987</v>
      </c>
      <c r="C52" s="1181" t="s">
        <v>395</v>
      </c>
      <c r="D52" s="1181" t="s">
        <v>1070</v>
      </c>
      <c r="E52" s="1182">
        <v>169.30405663716815</v>
      </c>
      <c r="F52" s="1182">
        <v>180.44670051622418</v>
      </c>
      <c r="G52" s="1182">
        <v>175.78580014749267</v>
      </c>
      <c r="H52" s="1182">
        <v>160.47468517699119</v>
      </c>
    </row>
    <row r="53" spans="1:8">
      <c r="A53" s="1186" t="str">
        <f t="shared" si="0"/>
        <v>Washington, 988</v>
      </c>
      <c r="B53" s="1180">
        <v>988</v>
      </c>
      <c r="C53" s="1181" t="s">
        <v>395</v>
      </c>
      <c r="D53" s="1181" t="s">
        <v>1075</v>
      </c>
      <c r="E53" s="1182">
        <v>156.27263897545353</v>
      </c>
      <c r="F53" s="1182">
        <v>166.5576279989327</v>
      </c>
      <c r="G53" s="1182">
        <v>162.25547945570958</v>
      </c>
      <c r="H53" s="1182">
        <v>148.12286863927426</v>
      </c>
    </row>
    <row r="54" spans="1:8">
      <c r="A54" s="1186" t="str">
        <f t="shared" si="0"/>
        <v>Washington, 989</v>
      </c>
      <c r="B54" s="1180">
        <v>989</v>
      </c>
      <c r="C54" s="1181" t="s">
        <v>395</v>
      </c>
      <c r="D54" s="1181" t="s">
        <v>1076</v>
      </c>
      <c r="E54" s="1182">
        <v>162.43098666666663</v>
      </c>
      <c r="F54" s="1182">
        <v>173.1212836111111</v>
      </c>
      <c r="G54" s="1182">
        <v>168.64959722222221</v>
      </c>
      <c r="H54" s="1182">
        <v>153.96005249999999</v>
      </c>
    </row>
    <row r="55" spans="1:8">
      <c r="A55" s="1186" t="str">
        <f t="shared" si="0"/>
        <v>Washington, 990</v>
      </c>
      <c r="B55" s="1180">
        <v>990</v>
      </c>
      <c r="C55" s="1181" t="s">
        <v>395</v>
      </c>
      <c r="D55" s="1181" t="s">
        <v>1077</v>
      </c>
      <c r="E55" s="1182">
        <v>152.15896551275097</v>
      </c>
      <c r="F55" s="1182">
        <v>162.1732156104178</v>
      </c>
      <c r="G55" s="1182">
        <v>157.98431551817691</v>
      </c>
      <c r="H55" s="1182">
        <v>144.22372725447642</v>
      </c>
    </row>
    <row r="56" spans="1:8">
      <c r="A56" s="1186" t="str">
        <f t="shared" si="0"/>
        <v>Washington, 991</v>
      </c>
      <c r="B56" s="1180">
        <v>991</v>
      </c>
      <c r="C56" s="1181" t="s">
        <v>395</v>
      </c>
      <c r="D56" s="1181" t="s">
        <v>1077</v>
      </c>
      <c r="E56" s="1182">
        <v>152.15896551275097</v>
      </c>
      <c r="F56" s="1182">
        <v>162.1732156104178</v>
      </c>
      <c r="G56" s="1182">
        <v>157.98431551817691</v>
      </c>
      <c r="H56" s="1182">
        <v>144.22372725447642</v>
      </c>
    </row>
    <row r="57" spans="1:8">
      <c r="A57" s="1186" t="str">
        <f t="shared" si="0"/>
        <v>Washington, 992</v>
      </c>
      <c r="B57" s="1180">
        <v>992</v>
      </c>
      <c r="C57" s="1181" t="s">
        <v>395</v>
      </c>
      <c r="D57" s="1181" t="s">
        <v>1077</v>
      </c>
      <c r="E57" s="1182">
        <v>152.15896551275097</v>
      </c>
      <c r="F57" s="1182">
        <v>162.1732156104178</v>
      </c>
      <c r="G57" s="1182">
        <v>157.98431551817691</v>
      </c>
      <c r="H57" s="1182">
        <v>144.22372725447642</v>
      </c>
    </row>
    <row r="58" spans="1:8">
      <c r="A58" s="1186" t="str">
        <f t="shared" si="0"/>
        <v>Washington, 993</v>
      </c>
      <c r="B58" s="1180">
        <v>993</v>
      </c>
      <c r="C58" s="1181" t="s">
        <v>395</v>
      </c>
      <c r="D58" s="1181" t="s">
        <v>1078</v>
      </c>
      <c r="E58" s="1182">
        <v>157.5128932701422</v>
      </c>
      <c r="F58" s="1182">
        <v>167.87950887835703</v>
      </c>
      <c r="G58" s="1182">
        <v>163.54321642969981</v>
      </c>
      <c r="H58" s="1182">
        <v>149.29844246445492</v>
      </c>
    </row>
    <row r="59" spans="1:8">
      <c r="A59" s="1186" t="str">
        <f t="shared" si="0"/>
        <v>Washington, 994</v>
      </c>
      <c r="B59" s="1180">
        <v>994</v>
      </c>
      <c r="C59" s="1181" t="s">
        <v>395</v>
      </c>
      <c r="D59" s="1181" t="s">
        <v>770</v>
      </c>
      <c r="E59" s="1182">
        <v>150.43019620210998</v>
      </c>
      <c r="F59" s="1182">
        <v>160.33066839533598</v>
      </c>
      <c r="G59" s="1182">
        <v>156.18936091060525</v>
      </c>
      <c r="H59" s="1182">
        <v>142.58511494725153</v>
      </c>
    </row>
    <row r="60" spans="1:8">
      <c r="A60" s="1186" t="str">
        <f t="shared" si="0"/>
        <v>Wyoming, 820</v>
      </c>
      <c r="B60" s="1180">
        <v>820</v>
      </c>
      <c r="C60" s="1181" t="s">
        <v>396</v>
      </c>
      <c r="D60" s="1181" t="s">
        <v>1079</v>
      </c>
      <c r="E60" s="1182">
        <v>143.61923856801911</v>
      </c>
      <c r="F60" s="1182">
        <v>153.07145171241049</v>
      </c>
      <c r="G60" s="1182">
        <v>149.11764826968974</v>
      </c>
      <c r="H60" s="1182">
        <v>136.12935538782816</v>
      </c>
    </row>
    <row r="61" spans="1:8">
      <c r="A61" s="1186" t="str">
        <f t="shared" si="0"/>
        <v>Wyoming, 821</v>
      </c>
      <c r="B61" s="1180">
        <v>821</v>
      </c>
      <c r="C61" s="1181" t="s">
        <v>396</v>
      </c>
      <c r="D61" s="1181" t="s">
        <v>778</v>
      </c>
      <c r="E61" s="1182">
        <v>142.56355434146343</v>
      </c>
      <c r="F61" s="1182">
        <v>151.94628826829268</v>
      </c>
      <c r="G61" s="1182">
        <v>148.02154756097559</v>
      </c>
      <c r="H61" s="1182">
        <v>135.12872612195125</v>
      </c>
    </row>
    <row r="62" spans="1:8">
      <c r="A62" s="1186" t="str">
        <f t="shared" si="0"/>
        <v>Wyoming, 822</v>
      </c>
      <c r="B62" s="1180">
        <v>822</v>
      </c>
      <c r="C62" s="1181" t="s">
        <v>396</v>
      </c>
      <c r="D62" s="1181" t="s">
        <v>776</v>
      </c>
      <c r="E62" s="1182">
        <v>139.96124038834952</v>
      </c>
      <c r="F62" s="1182">
        <v>149.1727045995145</v>
      </c>
      <c r="G62" s="1182">
        <v>145.31960497572814</v>
      </c>
      <c r="H62" s="1182">
        <v>132.6621253762136</v>
      </c>
    </row>
    <row r="63" spans="1:8" s="47" customFormat="1">
      <c r="A63" s="1186" t="str">
        <f t="shared" si="0"/>
        <v>Wyoming, 823</v>
      </c>
      <c r="B63" s="1180">
        <v>823</v>
      </c>
      <c r="C63" s="1181" t="s">
        <v>396</v>
      </c>
      <c r="D63" s="1181" t="s">
        <v>772</v>
      </c>
      <c r="E63" s="1182">
        <v>144.42761499704321</v>
      </c>
      <c r="F63" s="1182">
        <v>153.93303094618571</v>
      </c>
      <c r="G63" s="1182">
        <v>149.95697309284449</v>
      </c>
      <c r="H63" s="1182">
        <v>136.89557419869899</v>
      </c>
    </row>
    <row r="64" spans="1:8" s="47" customFormat="1">
      <c r="A64" s="1186" t="str">
        <f t="shared" si="0"/>
        <v>Wyoming, 824</v>
      </c>
      <c r="B64" s="1180">
        <v>824</v>
      </c>
      <c r="C64" s="1181" t="s">
        <v>396</v>
      </c>
      <c r="D64" s="1181" t="s">
        <v>777</v>
      </c>
      <c r="E64" s="1182">
        <v>142.26432000000005</v>
      </c>
      <c r="F64" s="1182">
        <v>151.62736000000004</v>
      </c>
      <c r="G64" s="1182">
        <v>147.71085714285718</v>
      </c>
      <c r="H64" s="1182">
        <v>134.84509714285724</v>
      </c>
    </row>
    <row r="65" spans="1:8">
      <c r="A65" s="1186" t="str">
        <f t="shared" si="0"/>
        <v>Wyoming, 825</v>
      </c>
      <c r="B65" s="1180">
        <v>825</v>
      </c>
      <c r="C65" s="1181" t="s">
        <v>396</v>
      </c>
      <c r="D65" s="1181" t="s">
        <v>773</v>
      </c>
      <c r="E65" s="1182">
        <v>141.53831999999997</v>
      </c>
      <c r="F65" s="1182">
        <v>150.85357874999997</v>
      </c>
      <c r="G65" s="1182">
        <v>146.95706250000003</v>
      </c>
      <c r="H65" s="1182">
        <v>134.15695875</v>
      </c>
    </row>
    <row r="66" spans="1:8">
      <c r="A66" s="1186" t="str">
        <f t="shared" si="0"/>
        <v>Wyoming, 826</v>
      </c>
      <c r="B66" s="1180">
        <v>826</v>
      </c>
      <c r="C66" s="1181" t="s">
        <v>396</v>
      </c>
      <c r="D66" s="1181" t="s">
        <v>1080</v>
      </c>
      <c r="E66" s="1182">
        <v>141.27073817959683</v>
      </c>
      <c r="F66" s="1182">
        <v>150.56838619425778</v>
      </c>
      <c r="G66" s="1182">
        <v>146.67923640806353</v>
      </c>
      <c r="H66" s="1182">
        <v>133.90333158216254</v>
      </c>
    </row>
    <row r="67" spans="1:8">
      <c r="A67" s="1186" t="str">
        <f t="shared" ref="A67:A71" si="1">C67&amp;", "&amp;B67</f>
        <v>Wyoming, 827</v>
      </c>
      <c r="B67" s="1180">
        <v>827</v>
      </c>
      <c r="C67" s="1181" t="s">
        <v>396</v>
      </c>
      <c r="D67" s="1181" t="s">
        <v>771</v>
      </c>
      <c r="E67" s="1182">
        <v>142.11846791366912</v>
      </c>
      <c r="F67" s="1182">
        <v>151.4719087470024</v>
      </c>
      <c r="G67" s="1182">
        <v>147.55942116306957</v>
      </c>
      <c r="H67" s="1182">
        <v>134.7068513848921</v>
      </c>
    </row>
    <row r="68" spans="1:8">
      <c r="A68" s="1186" t="str">
        <f t="shared" si="1"/>
        <v>Wyoming, 828</v>
      </c>
      <c r="B68" s="1180">
        <v>828</v>
      </c>
      <c r="C68" s="1181" t="s">
        <v>396</v>
      </c>
      <c r="D68" s="1181" t="s">
        <v>775</v>
      </c>
      <c r="E68" s="1182">
        <v>143.53871942789033</v>
      </c>
      <c r="F68" s="1182">
        <v>152.9856332538736</v>
      </c>
      <c r="G68" s="1182">
        <v>149.03404648390944</v>
      </c>
      <c r="H68" s="1182">
        <v>136.05303539928485</v>
      </c>
    </row>
    <row r="69" spans="1:8">
      <c r="A69" s="1186" t="str">
        <f t="shared" si="1"/>
        <v>Wyoming, 829</v>
      </c>
      <c r="B69" s="1180">
        <v>829</v>
      </c>
      <c r="C69" s="1181" t="s">
        <v>396</v>
      </c>
      <c r="D69" s="1181" t="s">
        <v>774</v>
      </c>
      <c r="E69" s="1182">
        <v>145.41439052132705</v>
      </c>
      <c r="F69" s="1182">
        <v>154.98475050355449</v>
      </c>
      <c r="G69" s="1182">
        <v>150.98152695497629</v>
      </c>
      <c r="H69" s="1182">
        <v>137.83088841824645</v>
      </c>
    </row>
    <row r="70" spans="1:8">
      <c r="A70" s="1186" t="str">
        <f t="shared" si="1"/>
        <v>Wyoming, 830</v>
      </c>
      <c r="B70" s="1180">
        <v>830</v>
      </c>
      <c r="C70" s="1181" t="s">
        <v>396</v>
      </c>
      <c r="D70" s="1181" t="s">
        <v>774</v>
      </c>
      <c r="E70" s="1182">
        <v>145.41439052132705</v>
      </c>
      <c r="F70" s="1182">
        <v>154.98475050355449</v>
      </c>
      <c r="G70" s="1182">
        <v>150.98152695497629</v>
      </c>
      <c r="H70" s="1182">
        <v>137.83088841824645</v>
      </c>
    </row>
    <row r="71" spans="1:8">
      <c r="A71" s="1186" t="str">
        <f t="shared" si="1"/>
        <v>Wyoming, 831</v>
      </c>
      <c r="B71" s="1180">
        <v>831</v>
      </c>
      <c r="C71" s="1181" t="s">
        <v>396</v>
      </c>
      <c r="D71" s="1181" t="s">
        <v>774</v>
      </c>
      <c r="E71" s="1182">
        <v>145.41439052132705</v>
      </c>
      <c r="F71" s="1182">
        <v>154.98475050355449</v>
      </c>
      <c r="G71" s="1182">
        <v>150.98152695497629</v>
      </c>
      <c r="H71" s="1182">
        <v>137.83088841824645</v>
      </c>
    </row>
    <row r="72" spans="1:8">
      <c r="A72" s="1284" t="s">
        <v>389</v>
      </c>
      <c r="B72" s="1186"/>
      <c r="C72" s="1186"/>
      <c r="D72" s="1192" t="s">
        <v>1134</v>
      </c>
      <c r="E72" s="1182">
        <v>191.64276338379614</v>
      </c>
      <c r="F72" s="1182">
        <v>204.2556157087713</v>
      </c>
      <c r="G72" s="1182">
        <v>198.97973606204476</v>
      </c>
      <c r="H72" s="1182">
        <v>181.64840660830185</v>
      </c>
    </row>
    <row r="73" spans="1:8">
      <c r="A73" s="1284" t="s">
        <v>390</v>
      </c>
      <c r="B73" s="1186"/>
      <c r="C73" s="1186"/>
      <c r="D73" s="1192" t="s">
        <v>1135</v>
      </c>
      <c r="E73" s="1182">
        <v>190.52876733701305</v>
      </c>
      <c r="F73" s="1182">
        <v>203.06830268731835</v>
      </c>
      <c r="G73" s="1182">
        <v>197.82309108652265</v>
      </c>
      <c r="H73" s="1182">
        <v>180.59250654041963</v>
      </c>
    </row>
    <row r="74" spans="1:8">
      <c r="A74" s="1192" t="s">
        <v>391</v>
      </c>
      <c r="B74" s="1186"/>
      <c r="C74" s="1186"/>
      <c r="D74" s="1192" t="s">
        <v>1093</v>
      </c>
      <c r="E74" s="1182">
        <v>151.00416825043845</v>
      </c>
      <c r="F74" s="1182">
        <v>160.94241606616339</v>
      </c>
      <c r="G74" s="1182">
        <v>156.78530726760218</v>
      </c>
      <c r="H74" s="1182">
        <v>143.12915379419604</v>
      </c>
    </row>
    <row r="75" spans="1:8">
      <c r="A75" s="1192" t="s">
        <v>393</v>
      </c>
      <c r="B75" s="1186"/>
      <c r="C75" s="1186"/>
      <c r="D75" s="1192" t="s">
        <v>1094</v>
      </c>
      <c r="E75" s="1182">
        <v>144.42475257301163</v>
      </c>
      <c r="F75" s="1182">
        <v>153.92998013345129</v>
      </c>
      <c r="G75" s="1182">
        <v>149.95400108196216</v>
      </c>
      <c r="H75" s="1182">
        <v>136.89286105286874</v>
      </c>
    </row>
    <row r="76" spans="1:8">
      <c r="A76" s="1192" t="s">
        <v>394</v>
      </c>
      <c r="B76" s="1186"/>
      <c r="C76" s="1186"/>
      <c r="D76" s="1192" t="s">
        <v>1095</v>
      </c>
      <c r="E76" s="1182">
        <v>159.36858905337834</v>
      </c>
      <c r="F76" s="1182">
        <v>169.85733615490275</v>
      </c>
      <c r="G76" s="1182">
        <v>165.46995684316539</v>
      </c>
      <c r="H76" s="1182">
        <v>151.05736190509941</v>
      </c>
    </row>
    <row r="77" spans="1:8">
      <c r="A77" s="1192" t="s">
        <v>392</v>
      </c>
      <c r="B77" s="1186"/>
      <c r="C77" s="1186"/>
      <c r="D77" s="1192" t="s">
        <v>1096</v>
      </c>
      <c r="E77" s="1182">
        <v>142.91830127515371</v>
      </c>
      <c r="F77" s="1182">
        <v>152.32438265642566</v>
      </c>
      <c r="G77" s="1182">
        <v>148.38987585048767</v>
      </c>
      <c r="H77" s="1182">
        <v>135.46497265751685</v>
      </c>
    </row>
    <row r="78" spans="1:8">
      <c r="A78" s="1192" t="s">
        <v>395</v>
      </c>
      <c r="B78" s="1186"/>
      <c r="C78" s="1186"/>
      <c r="D78" s="1186" t="s">
        <v>1097</v>
      </c>
      <c r="E78" s="1285">
        <v>160.79802027959056</v>
      </c>
      <c r="F78" s="1285">
        <v>171.38084453094615</v>
      </c>
      <c r="G78" s="1285">
        <v>166.95411331789197</v>
      </c>
      <c r="H78" s="1285">
        <v>152.41224690056157</v>
      </c>
    </row>
    <row r="79" spans="1:8">
      <c r="A79" s="1192" t="s">
        <v>396</v>
      </c>
      <c r="B79" s="1186"/>
      <c r="C79" s="1186"/>
      <c r="D79" s="1186" t="s">
        <v>1098</v>
      </c>
      <c r="E79" s="1285">
        <v>143.12878211500106</v>
      </c>
      <c r="F79" s="1285">
        <v>152.54871616518341</v>
      </c>
      <c r="G79" s="1285">
        <v>148.60841487183887</v>
      </c>
      <c r="H79" s="1285">
        <v>135.66447671655237</v>
      </c>
    </row>
  </sheetData>
  <sheetProtection password="C9A3" sheet="1" objects="1" scenarios="1" selectLockedCells="1"/>
  <sortState ref="A72:H79">
    <sortCondition ref="A72:A79"/>
  </sortState>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1:Z787"/>
  <sheetViews>
    <sheetView zoomScale="70" zoomScaleNormal="70" workbookViewId="0">
      <selection activeCell="E3" sqref="E3"/>
    </sheetView>
  </sheetViews>
  <sheetFormatPr defaultColWidth="9.140625" defaultRowHeight="11.25"/>
  <cols>
    <col min="1" max="1" width="9.140625" style="1611"/>
    <col min="2" max="2" width="30.42578125" style="1610" bestFit="1" customWidth="1"/>
    <col min="3" max="3" width="8.5703125" style="1608" bestFit="1" customWidth="1"/>
    <col min="4" max="26" width="9.140625" style="1612"/>
    <col min="27" max="16384" width="9.140625" style="1611"/>
  </cols>
  <sheetData>
    <row r="1" spans="2:26">
      <c r="B1" s="1614"/>
      <c r="C1" s="1614"/>
      <c r="E1" s="1614"/>
      <c r="G1" s="1614"/>
      <c r="I1" s="1614"/>
      <c r="K1" s="1614"/>
      <c r="M1" s="1614"/>
      <c r="O1" s="1614"/>
      <c r="Q1" s="1614"/>
      <c r="S1" s="1614"/>
      <c r="U1" s="1614"/>
      <c r="W1" s="1614"/>
      <c r="Y1" s="1614"/>
    </row>
    <row r="2" spans="2:26">
      <c r="C2" s="1615">
        <v>2016</v>
      </c>
      <c r="F2" s="1607"/>
    </row>
    <row r="3" spans="2:26">
      <c r="B3" s="1616" t="s">
        <v>661</v>
      </c>
      <c r="C3" s="1609" t="s">
        <v>680</v>
      </c>
      <c r="D3" s="1609" t="s">
        <v>681</v>
      </c>
      <c r="E3" s="1609" t="s">
        <v>682</v>
      </c>
      <c r="F3" s="1609" t="s">
        <v>683</v>
      </c>
      <c r="G3" s="1609" t="s">
        <v>684</v>
      </c>
      <c r="H3" s="1609" t="s">
        <v>685</v>
      </c>
      <c r="I3" s="1609" t="s">
        <v>686</v>
      </c>
      <c r="J3" s="1609" t="s">
        <v>687</v>
      </c>
      <c r="K3" s="1609" t="s">
        <v>688</v>
      </c>
      <c r="L3" s="1609" t="s">
        <v>689</v>
      </c>
      <c r="M3" s="1609" t="s">
        <v>690</v>
      </c>
      <c r="N3" s="1609" t="s">
        <v>691</v>
      </c>
      <c r="O3" s="1609" t="s">
        <v>692</v>
      </c>
      <c r="P3" s="1609" t="s">
        <v>693</v>
      </c>
      <c r="Q3" s="1609" t="s">
        <v>694</v>
      </c>
      <c r="R3" s="1609" t="s">
        <v>695</v>
      </c>
      <c r="S3" s="1609" t="s">
        <v>696</v>
      </c>
      <c r="T3" s="1609" t="s">
        <v>697</v>
      </c>
      <c r="U3" s="1609" t="s">
        <v>698</v>
      </c>
      <c r="V3" s="1609" t="s">
        <v>699</v>
      </c>
      <c r="W3" s="1609" t="s">
        <v>700</v>
      </c>
      <c r="X3" s="1609" t="s">
        <v>701</v>
      </c>
      <c r="Y3" s="1609" t="s">
        <v>702</v>
      </c>
      <c r="Z3" s="1609" t="s">
        <v>703</v>
      </c>
    </row>
    <row r="4" spans="2:26">
      <c r="B4" s="1613" t="s">
        <v>399</v>
      </c>
      <c r="C4" s="1609">
        <v>27200</v>
      </c>
      <c r="D4" s="1609">
        <v>31050</v>
      </c>
      <c r="E4" s="1609">
        <v>34950</v>
      </c>
      <c r="F4" s="1609">
        <v>38800</v>
      </c>
      <c r="G4" s="1609">
        <v>41950</v>
      </c>
      <c r="H4" s="1609">
        <v>45050</v>
      </c>
      <c r="I4" s="1609">
        <v>48150</v>
      </c>
      <c r="J4" s="1609">
        <v>51250</v>
      </c>
      <c r="K4" s="1609">
        <v>16350</v>
      </c>
      <c r="L4" s="1609">
        <v>20020</v>
      </c>
      <c r="M4" s="1609">
        <v>25200</v>
      </c>
      <c r="N4" s="1609">
        <v>30380</v>
      </c>
      <c r="O4" s="1609">
        <v>35560</v>
      </c>
      <c r="P4" s="1609">
        <v>40740</v>
      </c>
      <c r="Q4" s="1609">
        <v>45920</v>
      </c>
      <c r="R4" s="1609">
        <v>51120</v>
      </c>
      <c r="S4" s="1609">
        <v>43500</v>
      </c>
      <c r="T4" s="1609">
        <v>49700</v>
      </c>
      <c r="U4" s="1609">
        <v>55900</v>
      </c>
      <c r="V4" s="1609">
        <v>62100</v>
      </c>
      <c r="W4" s="1609">
        <v>67100</v>
      </c>
      <c r="X4" s="1609">
        <v>72050</v>
      </c>
      <c r="Y4" s="1609">
        <v>77050</v>
      </c>
      <c r="Z4" s="1609">
        <v>82000</v>
      </c>
    </row>
    <row r="5" spans="2:26">
      <c r="B5" s="1613" t="s">
        <v>400</v>
      </c>
      <c r="C5" s="1609">
        <v>31350</v>
      </c>
      <c r="D5" s="1609">
        <v>35800</v>
      </c>
      <c r="E5" s="1609">
        <v>40300</v>
      </c>
      <c r="F5" s="1609">
        <v>44750</v>
      </c>
      <c r="G5" s="1609">
        <v>48350</v>
      </c>
      <c r="H5" s="1609">
        <v>51950</v>
      </c>
      <c r="I5" s="1609">
        <v>55500</v>
      </c>
      <c r="J5" s="1609">
        <v>59100</v>
      </c>
      <c r="K5" s="1609">
        <v>18800</v>
      </c>
      <c r="L5" s="1609">
        <v>21500</v>
      </c>
      <c r="M5" s="1609">
        <v>25200</v>
      </c>
      <c r="N5" s="1609">
        <v>30380</v>
      </c>
      <c r="O5" s="1609">
        <v>35560</v>
      </c>
      <c r="P5" s="1609">
        <v>40740</v>
      </c>
      <c r="Q5" s="1609">
        <v>45920</v>
      </c>
      <c r="R5" s="1609">
        <v>51120</v>
      </c>
      <c r="S5" s="1609">
        <v>49100</v>
      </c>
      <c r="T5" s="1609">
        <v>56100</v>
      </c>
      <c r="U5" s="1609">
        <v>63100</v>
      </c>
      <c r="V5" s="1609">
        <v>70100</v>
      </c>
      <c r="W5" s="1609">
        <v>75750</v>
      </c>
      <c r="X5" s="1609">
        <v>81350</v>
      </c>
      <c r="Y5" s="1609">
        <v>86950</v>
      </c>
      <c r="Z5" s="1609">
        <v>92550</v>
      </c>
    </row>
    <row r="6" spans="2:26">
      <c r="B6" s="1613" t="s">
        <v>401</v>
      </c>
      <c r="C6" s="1609">
        <v>32550</v>
      </c>
      <c r="D6" s="1609">
        <v>37200</v>
      </c>
      <c r="E6" s="1609">
        <v>41850</v>
      </c>
      <c r="F6" s="1609">
        <v>46450</v>
      </c>
      <c r="G6" s="1609">
        <v>50200</v>
      </c>
      <c r="H6" s="1609">
        <v>53900</v>
      </c>
      <c r="I6" s="1609">
        <v>57600</v>
      </c>
      <c r="J6" s="1609">
        <v>61350</v>
      </c>
      <c r="K6" s="1609">
        <v>19500</v>
      </c>
      <c r="L6" s="1609">
        <v>22300</v>
      </c>
      <c r="M6" s="1609">
        <v>25200</v>
      </c>
      <c r="N6" s="1609">
        <v>30380</v>
      </c>
      <c r="O6" s="1609">
        <v>35560</v>
      </c>
      <c r="P6" s="1609">
        <v>40740</v>
      </c>
      <c r="Q6" s="1609">
        <v>45920</v>
      </c>
      <c r="R6" s="1609">
        <v>51120</v>
      </c>
      <c r="S6" s="1609">
        <v>46000</v>
      </c>
      <c r="T6" s="1609">
        <v>52600</v>
      </c>
      <c r="U6" s="1609">
        <v>59150</v>
      </c>
      <c r="V6" s="1609">
        <v>65700</v>
      </c>
      <c r="W6" s="1609">
        <v>71000</v>
      </c>
      <c r="X6" s="1609">
        <v>76250</v>
      </c>
      <c r="Y6" s="1609">
        <v>81500</v>
      </c>
      <c r="Z6" s="1609">
        <v>86750</v>
      </c>
    </row>
    <row r="7" spans="2:26">
      <c r="B7" s="1613" t="s">
        <v>402</v>
      </c>
      <c r="C7" s="1609">
        <v>27650</v>
      </c>
      <c r="D7" s="1609">
        <v>31600</v>
      </c>
      <c r="E7" s="1609">
        <v>35550</v>
      </c>
      <c r="F7" s="1609">
        <v>39500</v>
      </c>
      <c r="G7" s="1609">
        <v>42700</v>
      </c>
      <c r="H7" s="1609">
        <v>45850</v>
      </c>
      <c r="I7" s="1609">
        <v>49000</v>
      </c>
      <c r="J7" s="1609">
        <v>52150</v>
      </c>
      <c r="K7" s="1609">
        <v>16600</v>
      </c>
      <c r="L7" s="1609">
        <v>20020</v>
      </c>
      <c r="M7" s="1609">
        <v>25200</v>
      </c>
      <c r="N7" s="1609">
        <v>30380</v>
      </c>
      <c r="O7" s="1609">
        <v>35560</v>
      </c>
      <c r="P7" s="1609">
        <v>40740</v>
      </c>
      <c r="Q7" s="1609">
        <v>45920</v>
      </c>
      <c r="R7" s="1609">
        <v>51120</v>
      </c>
      <c r="S7" s="1609">
        <v>44250</v>
      </c>
      <c r="T7" s="1609">
        <v>50600</v>
      </c>
      <c r="U7" s="1609">
        <v>56900</v>
      </c>
      <c r="V7" s="1609">
        <v>63200</v>
      </c>
      <c r="W7" s="1609">
        <v>68300</v>
      </c>
      <c r="X7" s="1609">
        <v>73350</v>
      </c>
      <c r="Y7" s="1609">
        <v>78400</v>
      </c>
      <c r="Z7" s="1609">
        <v>83450</v>
      </c>
    </row>
    <row r="8" spans="2:26">
      <c r="B8" s="1613" t="s">
        <v>403</v>
      </c>
      <c r="C8" s="1609">
        <v>33950</v>
      </c>
      <c r="D8" s="1609">
        <v>38800</v>
      </c>
      <c r="E8" s="1609">
        <v>43650</v>
      </c>
      <c r="F8" s="1609">
        <v>48500</v>
      </c>
      <c r="G8" s="1609">
        <v>52400</v>
      </c>
      <c r="H8" s="1609">
        <v>56300</v>
      </c>
      <c r="I8" s="1609">
        <v>60150</v>
      </c>
      <c r="J8" s="1609">
        <v>64050</v>
      </c>
      <c r="K8" s="1609">
        <v>20400</v>
      </c>
      <c r="L8" s="1609">
        <v>23300</v>
      </c>
      <c r="M8" s="1609">
        <v>26200</v>
      </c>
      <c r="N8" s="1609">
        <v>30380</v>
      </c>
      <c r="O8" s="1609">
        <v>35560</v>
      </c>
      <c r="P8" s="1609">
        <v>40740</v>
      </c>
      <c r="Q8" s="1609">
        <v>45920</v>
      </c>
      <c r="R8" s="1609">
        <v>51120</v>
      </c>
      <c r="S8" s="1609">
        <v>46000</v>
      </c>
      <c r="T8" s="1609">
        <v>52600</v>
      </c>
      <c r="U8" s="1609">
        <v>59150</v>
      </c>
      <c r="V8" s="1609">
        <v>65700</v>
      </c>
      <c r="W8" s="1609">
        <v>71000</v>
      </c>
      <c r="X8" s="1609">
        <v>76250</v>
      </c>
      <c r="Y8" s="1609">
        <v>81500</v>
      </c>
      <c r="Z8" s="1609">
        <v>86750</v>
      </c>
    </row>
    <row r="9" spans="2:26">
      <c r="B9" s="1613" t="s">
        <v>404</v>
      </c>
      <c r="C9" s="1609">
        <v>34950</v>
      </c>
      <c r="D9" s="1609">
        <v>39950</v>
      </c>
      <c r="E9" s="1609">
        <v>44950</v>
      </c>
      <c r="F9" s="1609">
        <v>49900</v>
      </c>
      <c r="G9" s="1609">
        <v>53900</v>
      </c>
      <c r="H9" s="1609">
        <v>57900</v>
      </c>
      <c r="I9" s="1609">
        <v>61900</v>
      </c>
      <c r="J9" s="1609">
        <v>65900</v>
      </c>
      <c r="K9" s="1609">
        <v>21000</v>
      </c>
      <c r="L9" s="1609">
        <v>24000</v>
      </c>
      <c r="M9" s="1609">
        <v>27000</v>
      </c>
      <c r="N9" s="1609">
        <v>30380</v>
      </c>
      <c r="O9" s="1609">
        <v>35560</v>
      </c>
      <c r="P9" s="1609">
        <v>40740</v>
      </c>
      <c r="Q9" s="1609">
        <v>45920</v>
      </c>
      <c r="R9" s="1609">
        <v>51120</v>
      </c>
      <c r="S9" s="1609">
        <v>46000</v>
      </c>
      <c r="T9" s="1609">
        <v>52600</v>
      </c>
      <c r="U9" s="1609">
        <v>59150</v>
      </c>
      <c r="V9" s="1609">
        <v>65700</v>
      </c>
      <c r="W9" s="1609">
        <v>71000</v>
      </c>
      <c r="X9" s="1609">
        <v>76250</v>
      </c>
      <c r="Y9" s="1609">
        <v>81500</v>
      </c>
      <c r="Z9" s="1609">
        <v>86750</v>
      </c>
    </row>
    <row r="10" spans="2:26">
      <c r="B10" s="1613" t="s">
        <v>405</v>
      </c>
      <c r="C10" s="1609">
        <v>27200</v>
      </c>
      <c r="D10" s="1609">
        <v>31050</v>
      </c>
      <c r="E10" s="1609">
        <v>34950</v>
      </c>
      <c r="F10" s="1609">
        <v>38800</v>
      </c>
      <c r="G10" s="1609">
        <v>41950</v>
      </c>
      <c r="H10" s="1609">
        <v>45050</v>
      </c>
      <c r="I10" s="1609">
        <v>48150</v>
      </c>
      <c r="J10" s="1609">
        <v>51250</v>
      </c>
      <c r="K10" s="1609">
        <v>16350</v>
      </c>
      <c r="L10" s="1609">
        <v>20020</v>
      </c>
      <c r="M10" s="1609">
        <v>25200</v>
      </c>
      <c r="N10" s="1609">
        <v>30380</v>
      </c>
      <c r="O10" s="1609">
        <v>35560</v>
      </c>
      <c r="P10" s="1609">
        <v>40740</v>
      </c>
      <c r="Q10" s="1609">
        <v>45920</v>
      </c>
      <c r="R10" s="1609">
        <v>51120</v>
      </c>
      <c r="S10" s="1609">
        <v>43500</v>
      </c>
      <c r="T10" s="1609">
        <v>49700</v>
      </c>
      <c r="U10" s="1609">
        <v>55900</v>
      </c>
      <c r="V10" s="1609">
        <v>62100</v>
      </c>
      <c r="W10" s="1609">
        <v>67100</v>
      </c>
      <c r="X10" s="1609">
        <v>72050</v>
      </c>
      <c r="Y10" s="1609">
        <v>77050</v>
      </c>
      <c r="Z10" s="1609">
        <v>82000</v>
      </c>
    </row>
    <row r="11" spans="2:26">
      <c r="B11" s="1613" t="s">
        <v>406</v>
      </c>
      <c r="C11" s="1609">
        <v>30050</v>
      </c>
      <c r="D11" s="1609">
        <v>34350</v>
      </c>
      <c r="E11" s="1609">
        <v>38650</v>
      </c>
      <c r="F11" s="1609">
        <v>42900</v>
      </c>
      <c r="G11" s="1609">
        <v>46350</v>
      </c>
      <c r="H11" s="1609">
        <v>49800</v>
      </c>
      <c r="I11" s="1609">
        <v>53200</v>
      </c>
      <c r="J11" s="1609">
        <v>56650</v>
      </c>
      <c r="K11" s="1609">
        <v>18050</v>
      </c>
      <c r="L11" s="1609">
        <v>20600</v>
      </c>
      <c r="M11" s="1609">
        <v>25200</v>
      </c>
      <c r="N11" s="1609">
        <v>30380</v>
      </c>
      <c r="O11" s="1609">
        <v>35560</v>
      </c>
      <c r="P11" s="1609">
        <v>40740</v>
      </c>
      <c r="Q11" s="1609">
        <v>45920</v>
      </c>
      <c r="R11" s="1609">
        <v>51120</v>
      </c>
      <c r="S11" s="1609">
        <v>46000</v>
      </c>
      <c r="T11" s="1609">
        <v>52600</v>
      </c>
      <c r="U11" s="1609">
        <v>59150</v>
      </c>
      <c r="V11" s="1609">
        <v>65700</v>
      </c>
      <c r="W11" s="1609">
        <v>71000</v>
      </c>
      <c r="X11" s="1609">
        <v>76250</v>
      </c>
      <c r="Y11" s="1609">
        <v>81500</v>
      </c>
      <c r="Z11" s="1609">
        <v>86750</v>
      </c>
    </row>
    <row r="12" spans="2:26">
      <c r="B12" s="1613" t="s">
        <v>407</v>
      </c>
      <c r="C12" s="1609">
        <v>27200</v>
      </c>
      <c r="D12" s="1609">
        <v>31050</v>
      </c>
      <c r="E12" s="1609">
        <v>34950</v>
      </c>
      <c r="F12" s="1609">
        <v>38800</v>
      </c>
      <c r="G12" s="1609">
        <v>41950</v>
      </c>
      <c r="H12" s="1609">
        <v>45050</v>
      </c>
      <c r="I12" s="1609">
        <v>48150</v>
      </c>
      <c r="J12" s="1609">
        <v>51250</v>
      </c>
      <c r="K12" s="1609">
        <v>16350</v>
      </c>
      <c r="L12" s="1609">
        <v>20020</v>
      </c>
      <c r="M12" s="1609">
        <v>25200</v>
      </c>
      <c r="N12" s="1609">
        <v>30380</v>
      </c>
      <c r="O12" s="1609">
        <v>35560</v>
      </c>
      <c r="P12" s="1609">
        <v>40740</v>
      </c>
      <c r="Q12" s="1609">
        <v>45920</v>
      </c>
      <c r="R12" s="1609">
        <v>51120</v>
      </c>
      <c r="S12" s="1609">
        <v>43500</v>
      </c>
      <c r="T12" s="1609">
        <v>49700</v>
      </c>
      <c r="U12" s="1609">
        <v>55900</v>
      </c>
      <c r="V12" s="1609">
        <v>62100</v>
      </c>
      <c r="W12" s="1609">
        <v>67100</v>
      </c>
      <c r="X12" s="1609">
        <v>72050</v>
      </c>
      <c r="Y12" s="1609">
        <v>77050</v>
      </c>
      <c r="Z12" s="1609">
        <v>82000</v>
      </c>
    </row>
    <row r="13" spans="2:26">
      <c r="B13" s="1613" t="s">
        <v>408</v>
      </c>
      <c r="C13" s="1609">
        <v>27200</v>
      </c>
      <c r="D13" s="1609">
        <v>31050</v>
      </c>
      <c r="E13" s="1609">
        <v>34950</v>
      </c>
      <c r="F13" s="1609">
        <v>38800</v>
      </c>
      <c r="G13" s="1609">
        <v>41950</v>
      </c>
      <c r="H13" s="1609">
        <v>45050</v>
      </c>
      <c r="I13" s="1609">
        <v>48150</v>
      </c>
      <c r="J13" s="1609">
        <v>51250</v>
      </c>
      <c r="K13" s="1609">
        <v>16350</v>
      </c>
      <c r="L13" s="1609">
        <v>20020</v>
      </c>
      <c r="M13" s="1609">
        <v>25200</v>
      </c>
      <c r="N13" s="1609">
        <v>30380</v>
      </c>
      <c r="O13" s="1609">
        <v>35560</v>
      </c>
      <c r="P13" s="1609">
        <v>40740</v>
      </c>
      <c r="Q13" s="1609">
        <v>45920</v>
      </c>
      <c r="R13" s="1609">
        <v>51120</v>
      </c>
      <c r="S13" s="1609">
        <v>43500</v>
      </c>
      <c r="T13" s="1609">
        <v>49700</v>
      </c>
      <c r="U13" s="1609">
        <v>55900</v>
      </c>
      <c r="V13" s="1609">
        <v>62100</v>
      </c>
      <c r="W13" s="1609">
        <v>67100</v>
      </c>
      <c r="X13" s="1609">
        <v>72050</v>
      </c>
      <c r="Y13" s="1609">
        <v>77050</v>
      </c>
      <c r="Z13" s="1609">
        <v>82000</v>
      </c>
    </row>
    <row r="14" spans="2:26">
      <c r="B14" s="1613" t="s">
        <v>409</v>
      </c>
      <c r="C14" s="1609">
        <v>34200</v>
      </c>
      <c r="D14" s="1609">
        <v>39050</v>
      </c>
      <c r="E14" s="1609">
        <v>43950</v>
      </c>
      <c r="F14" s="1609">
        <v>48800</v>
      </c>
      <c r="G14" s="1609">
        <v>52750</v>
      </c>
      <c r="H14" s="1609">
        <v>56650</v>
      </c>
      <c r="I14" s="1609">
        <v>60550</v>
      </c>
      <c r="J14" s="1609">
        <v>64450</v>
      </c>
      <c r="K14" s="1609">
        <v>20550</v>
      </c>
      <c r="L14" s="1609">
        <v>23450</v>
      </c>
      <c r="M14" s="1609">
        <v>26400</v>
      </c>
      <c r="N14" s="1609">
        <v>30380</v>
      </c>
      <c r="O14" s="1609">
        <v>35560</v>
      </c>
      <c r="P14" s="1609">
        <v>40740</v>
      </c>
      <c r="Q14" s="1609">
        <v>45920</v>
      </c>
      <c r="R14" s="1609">
        <v>51120</v>
      </c>
      <c r="S14" s="1609">
        <v>46000</v>
      </c>
      <c r="T14" s="1609">
        <v>52600</v>
      </c>
      <c r="U14" s="1609">
        <v>59150</v>
      </c>
      <c r="V14" s="1609">
        <v>65700</v>
      </c>
      <c r="W14" s="1609">
        <v>71000</v>
      </c>
      <c r="X14" s="1609">
        <v>76250</v>
      </c>
      <c r="Y14" s="1609">
        <v>81500</v>
      </c>
      <c r="Z14" s="1609">
        <v>86750</v>
      </c>
    </row>
    <row r="15" spans="2:26">
      <c r="B15" s="1613" t="s">
        <v>410</v>
      </c>
      <c r="C15" s="1609">
        <v>27200</v>
      </c>
      <c r="D15" s="1609">
        <v>31100</v>
      </c>
      <c r="E15" s="1609">
        <v>35000</v>
      </c>
      <c r="F15" s="1609">
        <v>38850</v>
      </c>
      <c r="G15" s="1609">
        <v>42000</v>
      </c>
      <c r="H15" s="1609">
        <v>45100</v>
      </c>
      <c r="I15" s="1609">
        <v>48200</v>
      </c>
      <c r="J15" s="1609">
        <v>51300</v>
      </c>
      <c r="K15" s="1609">
        <v>16350</v>
      </c>
      <c r="L15" s="1609">
        <v>20020</v>
      </c>
      <c r="M15" s="1609">
        <v>25200</v>
      </c>
      <c r="N15" s="1609">
        <v>30380</v>
      </c>
      <c r="O15" s="1609">
        <v>35560</v>
      </c>
      <c r="P15" s="1609">
        <v>40740</v>
      </c>
      <c r="Q15" s="1609">
        <v>45920</v>
      </c>
      <c r="R15" s="1609">
        <v>51120</v>
      </c>
      <c r="S15" s="1609">
        <v>43550</v>
      </c>
      <c r="T15" s="1609">
        <v>49750</v>
      </c>
      <c r="U15" s="1609">
        <v>55950</v>
      </c>
      <c r="V15" s="1609">
        <v>62150</v>
      </c>
      <c r="W15" s="1609">
        <v>67150</v>
      </c>
      <c r="X15" s="1609">
        <v>72100</v>
      </c>
      <c r="Y15" s="1609">
        <v>77100</v>
      </c>
      <c r="Z15" s="1609">
        <v>82050</v>
      </c>
    </row>
    <row r="16" spans="2:26">
      <c r="B16" s="1613" t="s">
        <v>411</v>
      </c>
      <c r="C16" s="1609">
        <v>30800</v>
      </c>
      <c r="D16" s="1609">
        <v>35200</v>
      </c>
      <c r="E16" s="1609">
        <v>39600</v>
      </c>
      <c r="F16" s="1609">
        <v>43950</v>
      </c>
      <c r="G16" s="1609">
        <v>47500</v>
      </c>
      <c r="H16" s="1609">
        <v>51000</v>
      </c>
      <c r="I16" s="1609">
        <v>54500</v>
      </c>
      <c r="J16" s="1609">
        <v>58050</v>
      </c>
      <c r="K16" s="1609">
        <v>18450</v>
      </c>
      <c r="L16" s="1609">
        <v>21100</v>
      </c>
      <c r="M16" s="1609">
        <v>25200</v>
      </c>
      <c r="N16" s="1609">
        <v>30380</v>
      </c>
      <c r="O16" s="1609">
        <v>35560</v>
      </c>
      <c r="P16" s="1609">
        <v>40740</v>
      </c>
      <c r="Q16" s="1609">
        <v>45920</v>
      </c>
      <c r="R16" s="1609">
        <v>51120</v>
      </c>
      <c r="S16" s="1609">
        <v>46000</v>
      </c>
      <c r="T16" s="1609">
        <v>52600</v>
      </c>
      <c r="U16" s="1609">
        <v>59150</v>
      </c>
      <c r="V16" s="1609">
        <v>65700</v>
      </c>
      <c r="W16" s="1609">
        <v>71000</v>
      </c>
      <c r="X16" s="1609">
        <v>76250</v>
      </c>
      <c r="Y16" s="1609">
        <v>81500</v>
      </c>
      <c r="Z16" s="1609">
        <v>86750</v>
      </c>
    </row>
    <row r="17" spans="2:26">
      <c r="B17" s="1613" t="s">
        <v>412</v>
      </c>
      <c r="C17" s="1609">
        <v>27200</v>
      </c>
      <c r="D17" s="1609">
        <v>31050</v>
      </c>
      <c r="E17" s="1609">
        <v>34950</v>
      </c>
      <c r="F17" s="1609">
        <v>38800</v>
      </c>
      <c r="G17" s="1609">
        <v>41950</v>
      </c>
      <c r="H17" s="1609">
        <v>45050</v>
      </c>
      <c r="I17" s="1609">
        <v>48150</v>
      </c>
      <c r="J17" s="1609">
        <v>51250</v>
      </c>
      <c r="K17" s="1609">
        <v>16350</v>
      </c>
      <c r="L17" s="1609">
        <v>20020</v>
      </c>
      <c r="M17" s="1609">
        <v>25200</v>
      </c>
      <c r="N17" s="1609">
        <v>30380</v>
      </c>
      <c r="O17" s="1609">
        <v>35560</v>
      </c>
      <c r="P17" s="1609">
        <v>40740</v>
      </c>
      <c r="Q17" s="1609">
        <v>45920</v>
      </c>
      <c r="R17" s="1609">
        <v>51120</v>
      </c>
      <c r="S17" s="1609">
        <v>43500</v>
      </c>
      <c r="T17" s="1609">
        <v>49700</v>
      </c>
      <c r="U17" s="1609">
        <v>55900</v>
      </c>
      <c r="V17" s="1609">
        <v>62100</v>
      </c>
      <c r="W17" s="1609">
        <v>67100</v>
      </c>
      <c r="X17" s="1609">
        <v>72050</v>
      </c>
      <c r="Y17" s="1609">
        <v>77050</v>
      </c>
      <c r="Z17" s="1609">
        <v>82000</v>
      </c>
    </row>
    <row r="18" spans="2:26">
      <c r="B18" s="1613" t="s">
        <v>413</v>
      </c>
      <c r="C18" s="1609">
        <v>27200</v>
      </c>
      <c r="D18" s="1609">
        <v>31050</v>
      </c>
      <c r="E18" s="1609">
        <v>34950</v>
      </c>
      <c r="F18" s="1609">
        <v>38800</v>
      </c>
      <c r="G18" s="1609">
        <v>41950</v>
      </c>
      <c r="H18" s="1609">
        <v>45050</v>
      </c>
      <c r="I18" s="1609">
        <v>48150</v>
      </c>
      <c r="J18" s="1609">
        <v>51250</v>
      </c>
      <c r="K18" s="1609">
        <v>16350</v>
      </c>
      <c r="L18" s="1609">
        <v>20020</v>
      </c>
      <c r="M18" s="1609">
        <v>25200</v>
      </c>
      <c r="N18" s="1609">
        <v>30380</v>
      </c>
      <c r="O18" s="1609">
        <v>35560</v>
      </c>
      <c r="P18" s="1609">
        <v>40740</v>
      </c>
      <c r="Q18" s="1609">
        <v>45920</v>
      </c>
      <c r="R18" s="1609">
        <v>51120</v>
      </c>
      <c r="S18" s="1609">
        <v>43500</v>
      </c>
      <c r="T18" s="1609">
        <v>49700</v>
      </c>
      <c r="U18" s="1609">
        <v>55900</v>
      </c>
      <c r="V18" s="1609">
        <v>62100</v>
      </c>
      <c r="W18" s="1609">
        <v>67100</v>
      </c>
      <c r="X18" s="1609">
        <v>72050</v>
      </c>
      <c r="Y18" s="1609">
        <v>77050</v>
      </c>
      <c r="Z18" s="1609">
        <v>82000</v>
      </c>
    </row>
    <row r="19" spans="2:26">
      <c r="B19" s="1613" t="s">
        <v>414</v>
      </c>
      <c r="C19" s="1609">
        <v>30000</v>
      </c>
      <c r="D19" s="1609">
        <v>34300</v>
      </c>
      <c r="E19" s="1609">
        <v>38600</v>
      </c>
      <c r="F19" s="1609">
        <v>42850</v>
      </c>
      <c r="G19" s="1609">
        <v>46300</v>
      </c>
      <c r="H19" s="1609">
        <v>49750</v>
      </c>
      <c r="I19" s="1609">
        <v>53150</v>
      </c>
      <c r="J19" s="1609">
        <v>56600</v>
      </c>
      <c r="K19" s="1609">
        <v>18000</v>
      </c>
      <c r="L19" s="1609">
        <v>20600</v>
      </c>
      <c r="M19" s="1609">
        <v>25200</v>
      </c>
      <c r="N19" s="1609">
        <v>30380</v>
      </c>
      <c r="O19" s="1609">
        <v>35560</v>
      </c>
      <c r="P19" s="1609">
        <v>40740</v>
      </c>
      <c r="Q19" s="1609">
        <v>45920</v>
      </c>
      <c r="R19" s="1609">
        <v>51120</v>
      </c>
      <c r="S19" s="1609">
        <v>46000</v>
      </c>
      <c r="T19" s="1609">
        <v>52600</v>
      </c>
      <c r="U19" s="1609">
        <v>59150</v>
      </c>
      <c r="V19" s="1609">
        <v>65700</v>
      </c>
      <c r="W19" s="1609">
        <v>71000</v>
      </c>
      <c r="X19" s="1609">
        <v>76250</v>
      </c>
      <c r="Y19" s="1609">
        <v>81500</v>
      </c>
      <c r="Z19" s="1609">
        <v>86750</v>
      </c>
    </row>
    <row r="20" spans="2:26">
      <c r="B20" s="1613" t="s">
        <v>415</v>
      </c>
      <c r="C20" s="1609">
        <v>28100</v>
      </c>
      <c r="D20" s="1609">
        <v>32100</v>
      </c>
      <c r="E20" s="1609">
        <v>36100</v>
      </c>
      <c r="F20" s="1609">
        <v>40100</v>
      </c>
      <c r="G20" s="1609">
        <v>43350</v>
      </c>
      <c r="H20" s="1609">
        <v>46550</v>
      </c>
      <c r="I20" s="1609">
        <v>49750</v>
      </c>
      <c r="J20" s="1609">
        <v>52950</v>
      </c>
      <c r="K20" s="1609">
        <v>16850</v>
      </c>
      <c r="L20" s="1609">
        <v>20020</v>
      </c>
      <c r="M20" s="1609">
        <v>25200</v>
      </c>
      <c r="N20" s="1609">
        <v>30380</v>
      </c>
      <c r="O20" s="1609">
        <v>35560</v>
      </c>
      <c r="P20" s="1609">
        <v>40740</v>
      </c>
      <c r="Q20" s="1609">
        <v>45920</v>
      </c>
      <c r="R20" s="1609">
        <v>51120</v>
      </c>
      <c r="S20" s="1609">
        <v>44950</v>
      </c>
      <c r="T20" s="1609">
        <v>51350</v>
      </c>
      <c r="U20" s="1609">
        <v>57750</v>
      </c>
      <c r="V20" s="1609">
        <v>64150</v>
      </c>
      <c r="W20" s="1609">
        <v>69300</v>
      </c>
      <c r="X20" s="1609">
        <v>74450</v>
      </c>
      <c r="Y20" s="1609">
        <v>79550</v>
      </c>
      <c r="Z20" s="1609">
        <v>84700</v>
      </c>
    </row>
    <row r="21" spans="2:26">
      <c r="B21" s="1613" t="s">
        <v>416</v>
      </c>
      <c r="C21" s="1609">
        <v>29650</v>
      </c>
      <c r="D21" s="1609">
        <v>33900</v>
      </c>
      <c r="E21" s="1609">
        <v>38150</v>
      </c>
      <c r="F21" s="1609">
        <v>42350</v>
      </c>
      <c r="G21" s="1609">
        <v>45750</v>
      </c>
      <c r="H21" s="1609">
        <v>49150</v>
      </c>
      <c r="I21" s="1609">
        <v>52550</v>
      </c>
      <c r="J21" s="1609">
        <v>55950</v>
      </c>
      <c r="K21" s="1609">
        <v>17800</v>
      </c>
      <c r="L21" s="1609">
        <v>20350</v>
      </c>
      <c r="M21" s="1609">
        <v>25200</v>
      </c>
      <c r="N21" s="1609">
        <v>30380</v>
      </c>
      <c r="O21" s="1609">
        <v>35560</v>
      </c>
      <c r="P21" s="1609">
        <v>40740</v>
      </c>
      <c r="Q21" s="1609">
        <v>45920</v>
      </c>
      <c r="R21" s="1609">
        <v>51120</v>
      </c>
      <c r="S21" s="1609">
        <v>46000</v>
      </c>
      <c r="T21" s="1609">
        <v>52600</v>
      </c>
      <c r="U21" s="1609">
        <v>59150</v>
      </c>
      <c r="V21" s="1609">
        <v>65700</v>
      </c>
      <c r="W21" s="1609">
        <v>71000</v>
      </c>
      <c r="X21" s="1609">
        <v>76250</v>
      </c>
      <c r="Y21" s="1609">
        <v>81500</v>
      </c>
      <c r="Z21" s="1609">
        <v>86750</v>
      </c>
    </row>
    <row r="22" spans="2:26">
      <c r="B22" s="1613" t="s">
        <v>417</v>
      </c>
      <c r="C22" s="1609">
        <v>27200</v>
      </c>
      <c r="D22" s="1609">
        <v>31050</v>
      </c>
      <c r="E22" s="1609">
        <v>34950</v>
      </c>
      <c r="F22" s="1609">
        <v>38800</v>
      </c>
      <c r="G22" s="1609">
        <v>41950</v>
      </c>
      <c r="H22" s="1609">
        <v>45050</v>
      </c>
      <c r="I22" s="1609">
        <v>48150</v>
      </c>
      <c r="J22" s="1609">
        <v>51250</v>
      </c>
      <c r="K22" s="1609">
        <v>16350</v>
      </c>
      <c r="L22" s="1609">
        <v>20020</v>
      </c>
      <c r="M22" s="1609">
        <v>25200</v>
      </c>
      <c r="N22" s="1609">
        <v>30380</v>
      </c>
      <c r="O22" s="1609">
        <v>35560</v>
      </c>
      <c r="P22" s="1609">
        <v>40740</v>
      </c>
      <c r="Q22" s="1609">
        <v>45920</v>
      </c>
      <c r="R22" s="1609">
        <v>51120</v>
      </c>
      <c r="S22" s="1609">
        <v>43500</v>
      </c>
      <c r="T22" s="1609">
        <v>49700</v>
      </c>
      <c r="U22" s="1609">
        <v>55900</v>
      </c>
      <c r="V22" s="1609">
        <v>62100</v>
      </c>
      <c r="W22" s="1609">
        <v>67100</v>
      </c>
      <c r="X22" s="1609">
        <v>72050</v>
      </c>
      <c r="Y22" s="1609">
        <v>77050</v>
      </c>
      <c r="Z22" s="1609">
        <v>82000</v>
      </c>
    </row>
    <row r="23" spans="2:26">
      <c r="B23" s="1613" t="s">
        <v>418</v>
      </c>
      <c r="C23" s="1609">
        <v>30500</v>
      </c>
      <c r="D23" s="1609">
        <v>34850</v>
      </c>
      <c r="E23" s="1609">
        <v>39200</v>
      </c>
      <c r="F23" s="1609">
        <v>43550</v>
      </c>
      <c r="G23" s="1609">
        <v>47050</v>
      </c>
      <c r="H23" s="1609">
        <v>50550</v>
      </c>
      <c r="I23" s="1609">
        <v>54050</v>
      </c>
      <c r="J23" s="1609">
        <v>57500</v>
      </c>
      <c r="K23" s="1609">
        <v>18350</v>
      </c>
      <c r="L23" s="1609">
        <v>20950</v>
      </c>
      <c r="M23" s="1609">
        <v>25200</v>
      </c>
      <c r="N23" s="1609">
        <v>30380</v>
      </c>
      <c r="O23" s="1609">
        <v>35560</v>
      </c>
      <c r="P23" s="1609">
        <v>40740</v>
      </c>
      <c r="Q23" s="1609">
        <v>45920</v>
      </c>
      <c r="R23" s="1609">
        <v>51120</v>
      </c>
      <c r="S23" s="1609">
        <v>46000</v>
      </c>
      <c r="T23" s="1609">
        <v>52600</v>
      </c>
      <c r="U23" s="1609">
        <v>59150</v>
      </c>
      <c r="V23" s="1609">
        <v>65700</v>
      </c>
      <c r="W23" s="1609">
        <v>71000</v>
      </c>
      <c r="X23" s="1609">
        <v>76250</v>
      </c>
      <c r="Y23" s="1609">
        <v>81500</v>
      </c>
      <c r="Z23" s="1609">
        <v>86750</v>
      </c>
    </row>
    <row r="24" spans="2:26">
      <c r="B24" s="1613" t="s">
        <v>419</v>
      </c>
      <c r="C24" s="1609">
        <v>27200</v>
      </c>
      <c r="D24" s="1609">
        <v>31050</v>
      </c>
      <c r="E24" s="1609">
        <v>34950</v>
      </c>
      <c r="F24" s="1609">
        <v>38800</v>
      </c>
      <c r="G24" s="1609">
        <v>41950</v>
      </c>
      <c r="H24" s="1609">
        <v>45050</v>
      </c>
      <c r="I24" s="1609">
        <v>48150</v>
      </c>
      <c r="J24" s="1609">
        <v>51250</v>
      </c>
      <c r="K24" s="1609">
        <v>16350</v>
      </c>
      <c r="L24" s="1609">
        <v>20020</v>
      </c>
      <c r="M24" s="1609">
        <v>25200</v>
      </c>
      <c r="N24" s="1609">
        <v>30380</v>
      </c>
      <c r="O24" s="1609">
        <v>35560</v>
      </c>
      <c r="P24" s="1609">
        <v>40740</v>
      </c>
      <c r="Q24" s="1609">
        <v>45920</v>
      </c>
      <c r="R24" s="1609">
        <v>51120</v>
      </c>
      <c r="S24" s="1609">
        <v>43500</v>
      </c>
      <c r="T24" s="1609">
        <v>49700</v>
      </c>
      <c r="U24" s="1609">
        <v>55900</v>
      </c>
      <c r="V24" s="1609">
        <v>62100</v>
      </c>
      <c r="W24" s="1609">
        <v>67100</v>
      </c>
      <c r="X24" s="1609">
        <v>72050</v>
      </c>
      <c r="Y24" s="1609">
        <v>77050</v>
      </c>
      <c r="Z24" s="1609">
        <v>82000</v>
      </c>
    </row>
    <row r="25" spans="2:26">
      <c r="B25" s="1613" t="s">
        <v>420</v>
      </c>
      <c r="C25" s="1609">
        <v>28050</v>
      </c>
      <c r="D25" s="1609">
        <v>32050</v>
      </c>
      <c r="E25" s="1609">
        <v>36050</v>
      </c>
      <c r="F25" s="1609">
        <v>40050</v>
      </c>
      <c r="G25" s="1609">
        <v>43300</v>
      </c>
      <c r="H25" s="1609">
        <v>46500</v>
      </c>
      <c r="I25" s="1609">
        <v>49700</v>
      </c>
      <c r="J25" s="1609">
        <v>52900</v>
      </c>
      <c r="K25" s="1609">
        <v>16850</v>
      </c>
      <c r="L25" s="1609">
        <v>20020</v>
      </c>
      <c r="M25" s="1609">
        <v>25200</v>
      </c>
      <c r="N25" s="1609">
        <v>30380</v>
      </c>
      <c r="O25" s="1609">
        <v>35560</v>
      </c>
      <c r="P25" s="1609">
        <v>40740</v>
      </c>
      <c r="Q25" s="1609">
        <v>45920</v>
      </c>
      <c r="R25" s="1609">
        <v>51120</v>
      </c>
      <c r="S25" s="1609">
        <v>44900</v>
      </c>
      <c r="T25" s="1609">
        <v>51300</v>
      </c>
      <c r="U25" s="1609">
        <v>57700</v>
      </c>
      <c r="V25" s="1609">
        <v>64100</v>
      </c>
      <c r="W25" s="1609">
        <v>69250</v>
      </c>
      <c r="X25" s="1609">
        <v>74400</v>
      </c>
      <c r="Y25" s="1609">
        <v>79500</v>
      </c>
      <c r="Z25" s="1609">
        <v>84650</v>
      </c>
    </row>
    <row r="26" spans="2:26">
      <c r="B26" s="1613" t="s">
        <v>421</v>
      </c>
      <c r="C26" s="1609">
        <v>30700</v>
      </c>
      <c r="D26" s="1609">
        <v>35050</v>
      </c>
      <c r="E26" s="1609">
        <v>39450</v>
      </c>
      <c r="F26" s="1609">
        <v>43800</v>
      </c>
      <c r="G26" s="1609">
        <v>47350</v>
      </c>
      <c r="H26" s="1609">
        <v>50850</v>
      </c>
      <c r="I26" s="1609">
        <v>54350</v>
      </c>
      <c r="J26" s="1609">
        <v>57850</v>
      </c>
      <c r="K26" s="1609">
        <v>18450</v>
      </c>
      <c r="L26" s="1609">
        <v>21050</v>
      </c>
      <c r="M26" s="1609">
        <v>25200</v>
      </c>
      <c r="N26" s="1609">
        <v>30380</v>
      </c>
      <c r="O26" s="1609">
        <v>35560</v>
      </c>
      <c r="P26" s="1609">
        <v>40740</v>
      </c>
      <c r="Q26" s="1609">
        <v>45920</v>
      </c>
      <c r="R26" s="1609">
        <v>51120</v>
      </c>
      <c r="S26" s="1609">
        <v>46000</v>
      </c>
      <c r="T26" s="1609">
        <v>52600</v>
      </c>
      <c r="U26" s="1609">
        <v>59150</v>
      </c>
      <c r="V26" s="1609">
        <v>65700</v>
      </c>
      <c r="W26" s="1609">
        <v>71000</v>
      </c>
      <c r="X26" s="1609">
        <v>76250</v>
      </c>
      <c r="Y26" s="1609">
        <v>81500</v>
      </c>
      <c r="Z26" s="1609">
        <v>86750</v>
      </c>
    </row>
    <row r="27" spans="2:26">
      <c r="B27" s="1613" t="s">
        <v>422</v>
      </c>
      <c r="C27" s="1609">
        <v>27200</v>
      </c>
      <c r="D27" s="1609">
        <v>31050</v>
      </c>
      <c r="E27" s="1609">
        <v>34950</v>
      </c>
      <c r="F27" s="1609">
        <v>38800</v>
      </c>
      <c r="G27" s="1609">
        <v>41950</v>
      </c>
      <c r="H27" s="1609">
        <v>45050</v>
      </c>
      <c r="I27" s="1609">
        <v>48150</v>
      </c>
      <c r="J27" s="1609">
        <v>51250</v>
      </c>
      <c r="K27" s="1609">
        <v>16350</v>
      </c>
      <c r="L27" s="1609">
        <v>20020</v>
      </c>
      <c r="M27" s="1609">
        <v>25200</v>
      </c>
      <c r="N27" s="1609">
        <v>30380</v>
      </c>
      <c r="O27" s="1609">
        <v>35560</v>
      </c>
      <c r="P27" s="1609">
        <v>40740</v>
      </c>
      <c r="Q27" s="1609">
        <v>45920</v>
      </c>
      <c r="R27" s="1609">
        <v>51120</v>
      </c>
      <c r="S27" s="1609">
        <v>43500</v>
      </c>
      <c r="T27" s="1609">
        <v>49700</v>
      </c>
      <c r="U27" s="1609">
        <v>55900</v>
      </c>
      <c r="V27" s="1609">
        <v>62100</v>
      </c>
      <c r="W27" s="1609">
        <v>67100</v>
      </c>
      <c r="X27" s="1609">
        <v>72050</v>
      </c>
      <c r="Y27" s="1609">
        <v>77050</v>
      </c>
      <c r="Z27" s="1609">
        <v>82000</v>
      </c>
    </row>
    <row r="28" spans="2:26">
      <c r="B28" s="1613" t="s">
        <v>423</v>
      </c>
      <c r="C28" s="1609">
        <v>31650</v>
      </c>
      <c r="D28" s="1609">
        <v>36200</v>
      </c>
      <c r="E28" s="1609">
        <v>40700</v>
      </c>
      <c r="F28" s="1609">
        <v>45200</v>
      </c>
      <c r="G28" s="1609">
        <v>48850</v>
      </c>
      <c r="H28" s="1609">
        <v>52450</v>
      </c>
      <c r="I28" s="1609">
        <v>56050</v>
      </c>
      <c r="J28" s="1609">
        <v>59700</v>
      </c>
      <c r="K28" s="1609">
        <v>19000</v>
      </c>
      <c r="L28" s="1609">
        <v>21700</v>
      </c>
      <c r="M28" s="1609">
        <v>25200</v>
      </c>
      <c r="N28" s="1609">
        <v>30380</v>
      </c>
      <c r="O28" s="1609">
        <v>35560</v>
      </c>
      <c r="P28" s="1609">
        <v>40740</v>
      </c>
      <c r="Q28" s="1609">
        <v>45920</v>
      </c>
      <c r="R28" s="1609">
        <v>51120</v>
      </c>
      <c r="S28" s="1609">
        <v>46000</v>
      </c>
      <c r="T28" s="1609">
        <v>52600</v>
      </c>
      <c r="U28" s="1609">
        <v>59150</v>
      </c>
      <c r="V28" s="1609">
        <v>65700</v>
      </c>
      <c r="W28" s="1609">
        <v>71000</v>
      </c>
      <c r="X28" s="1609">
        <v>76250</v>
      </c>
      <c r="Y28" s="1609">
        <v>81500</v>
      </c>
      <c r="Z28" s="1609">
        <v>86750</v>
      </c>
    </row>
    <row r="29" spans="2:26">
      <c r="B29" s="1613" t="s">
        <v>424</v>
      </c>
      <c r="C29" s="1609">
        <v>27200</v>
      </c>
      <c r="D29" s="1609">
        <v>31050</v>
      </c>
      <c r="E29" s="1609">
        <v>34950</v>
      </c>
      <c r="F29" s="1609">
        <v>38800</v>
      </c>
      <c r="G29" s="1609">
        <v>41950</v>
      </c>
      <c r="H29" s="1609">
        <v>45050</v>
      </c>
      <c r="I29" s="1609">
        <v>48150</v>
      </c>
      <c r="J29" s="1609">
        <v>51250</v>
      </c>
      <c r="K29" s="1609">
        <v>16350</v>
      </c>
      <c r="L29" s="1609">
        <v>20020</v>
      </c>
      <c r="M29" s="1609">
        <v>25200</v>
      </c>
      <c r="N29" s="1609">
        <v>30380</v>
      </c>
      <c r="O29" s="1609">
        <v>35560</v>
      </c>
      <c r="P29" s="1609">
        <v>40740</v>
      </c>
      <c r="Q29" s="1609">
        <v>45920</v>
      </c>
      <c r="R29" s="1609">
        <v>51120</v>
      </c>
      <c r="S29" s="1609">
        <v>43500</v>
      </c>
      <c r="T29" s="1609">
        <v>49700</v>
      </c>
      <c r="U29" s="1609">
        <v>55900</v>
      </c>
      <c r="V29" s="1609">
        <v>62100</v>
      </c>
      <c r="W29" s="1609">
        <v>67100</v>
      </c>
      <c r="X29" s="1609">
        <v>72050</v>
      </c>
      <c r="Y29" s="1609">
        <v>77050</v>
      </c>
      <c r="Z29" s="1609">
        <v>82000</v>
      </c>
    </row>
    <row r="30" spans="2:26">
      <c r="B30" s="1613" t="s">
        <v>425</v>
      </c>
      <c r="C30" s="1609">
        <v>27200</v>
      </c>
      <c r="D30" s="1609">
        <v>31050</v>
      </c>
      <c r="E30" s="1609">
        <v>34950</v>
      </c>
      <c r="F30" s="1609">
        <v>38800</v>
      </c>
      <c r="G30" s="1609">
        <v>41950</v>
      </c>
      <c r="H30" s="1609">
        <v>45050</v>
      </c>
      <c r="I30" s="1609">
        <v>48150</v>
      </c>
      <c r="J30" s="1609">
        <v>51250</v>
      </c>
      <c r="K30" s="1609">
        <v>16350</v>
      </c>
      <c r="L30" s="1609">
        <v>20020</v>
      </c>
      <c r="M30" s="1609">
        <v>25200</v>
      </c>
      <c r="N30" s="1609">
        <v>30380</v>
      </c>
      <c r="O30" s="1609">
        <v>35560</v>
      </c>
      <c r="P30" s="1609">
        <v>40740</v>
      </c>
      <c r="Q30" s="1609">
        <v>45920</v>
      </c>
      <c r="R30" s="1609">
        <v>51120</v>
      </c>
      <c r="S30" s="1609">
        <v>43500</v>
      </c>
      <c r="T30" s="1609">
        <v>49700</v>
      </c>
      <c r="U30" s="1609">
        <v>55900</v>
      </c>
      <c r="V30" s="1609">
        <v>62100</v>
      </c>
      <c r="W30" s="1609">
        <v>67100</v>
      </c>
      <c r="X30" s="1609">
        <v>72050</v>
      </c>
      <c r="Y30" s="1609">
        <v>77050</v>
      </c>
      <c r="Z30" s="1609">
        <v>82000</v>
      </c>
    </row>
    <row r="31" spans="2:26">
      <c r="B31" s="1613" t="s">
        <v>426</v>
      </c>
      <c r="C31" s="1609">
        <v>29050</v>
      </c>
      <c r="D31" s="1609">
        <v>33200</v>
      </c>
      <c r="E31" s="1609">
        <v>37350</v>
      </c>
      <c r="F31" s="1609">
        <v>41500</v>
      </c>
      <c r="G31" s="1609">
        <v>44850</v>
      </c>
      <c r="H31" s="1609">
        <v>48150</v>
      </c>
      <c r="I31" s="1609">
        <v>51500</v>
      </c>
      <c r="J31" s="1609">
        <v>54800</v>
      </c>
      <c r="K31" s="1609">
        <v>17450</v>
      </c>
      <c r="L31" s="1609">
        <v>20020</v>
      </c>
      <c r="M31" s="1609">
        <v>25200</v>
      </c>
      <c r="N31" s="1609">
        <v>30380</v>
      </c>
      <c r="O31" s="1609">
        <v>35560</v>
      </c>
      <c r="P31" s="1609">
        <v>40740</v>
      </c>
      <c r="Q31" s="1609">
        <v>45920</v>
      </c>
      <c r="R31" s="1609">
        <v>51120</v>
      </c>
      <c r="S31" s="1609">
        <v>46000</v>
      </c>
      <c r="T31" s="1609">
        <v>52600</v>
      </c>
      <c r="U31" s="1609">
        <v>59150</v>
      </c>
      <c r="V31" s="1609">
        <v>65700</v>
      </c>
      <c r="W31" s="1609">
        <v>71000</v>
      </c>
      <c r="X31" s="1609">
        <v>76250</v>
      </c>
      <c r="Y31" s="1609">
        <v>81500</v>
      </c>
      <c r="Z31" s="1609">
        <v>86750</v>
      </c>
    </row>
    <row r="32" spans="2:26">
      <c r="B32" s="1613" t="s">
        <v>427</v>
      </c>
      <c r="C32" s="1609">
        <v>27200</v>
      </c>
      <c r="D32" s="1609">
        <v>31050</v>
      </c>
      <c r="E32" s="1609">
        <v>34950</v>
      </c>
      <c r="F32" s="1609">
        <v>38800</v>
      </c>
      <c r="G32" s="1609">
        <v>41950</v>
      </c>
      <c r="H32" s="1609">
        <v>45050</v>
      </c>
      <c r="I32" s="1609">
        <v>48150</v>
      </c>
      <c r="J32" s="1609">
        <v>51250</v>
      </c>
      <c r="K32" s="1609">
        <v>16350</v>
      </c>
      <c r="L32" s="1609">
        <v>20020</v>
      </c>
      <c r="M32" s="1609">
        <v>25200</v>
      </c>
      <c r="N32" s="1609">
        <v>30380</v>
      </c>
      <c r="O32" s="1609">
        <v>35560</v>
      </c>
      <c r="P32" s="1609">
        <v>40740</v>
      </c>
      <c r="Q32" s="1609">
        <v>45920</v>
      </c>
      <c r="R32" s="1609">
        <v>51120</v>
      </c>
      <c r="S32" s="1609">
        <v>43500</v>
      </c>
      <c r="T32" s="1609">
        <v>49700</v>
      </c>
      <c r="U32" s="1609">
        <v>55900</v>
      </c>
      <c r="V32" s="1609">
        <v>62100</v>
      </c>
      <c r="W32" s="1609">
        <v>67100</v>
      </c>
      <c r="X32" s="1609">
        <v>72050</v>
      </c>
      <c r="Y32" s="1609">
        <v>77050</v>
      </c>
      <c r="Z32" s="1609">
        <v>82000</v>
      </c>
    </row>
    <row r="33" spans="2:26">
      <c r="B33" s="1613" t="s">
        <v>428</v>
      </c>
      <c r="C33" s="1609">
        <v>20650</v>
      </c>
      <c r="D33" s="1609">
        <v>23600</v>
      </c>
      <c r="E33" s="1609">
        <v>26550</v>
      </c>
      <c r="F33" s="1609">
        <v>29450</v>
      </c>
      <c r="G33" s="1609">
        <v>31850</v>
      </c>
      <c r="H33" s="1609">
        <v>34200</v>
      </c>
      <c r="I33" s="1609">
        <v>36550</v>
      </c>
      <c r="J33" s="1609">
        <v>38900</v>
      </c>
      <c r="K33" s="1609">
        <v>12400</v>
      </c>
      <c r="L33" s="1609">
        <v>14150</v>
      </c>
      <c r="M33" s="1609">
        <v>15900</v>
      </c>
      <c r="N33" s="1609">
        <v>17650</v>
      </c>
      <c r="O33" s="1609">
        <v>19100</v>
      </c>
      <c r="P33" s="1609">
        <v>20500</v>
      </c>
      <c r="Q33" s="1609">
        <v>21900</v>
      </c>
      <c r="R33" s="1609">
        <v>23300</v>
      </c>
      <c r="S33" s="1609">
        <v>33050</v>
      </c>
      <c r="T33" s="1609">
        <v>37750</v>
      </c>
      <c r="U33" s="1609">
        <v>42450</v>
      </c>
      <c r="V33" s="1609">
        <v>47150</v>
      </c>
      <c r="W33" s="1609">
        <v>50950</v>
      </c>
      <c r="X33" s="1609">
        <v>54700</v>
      </c>
      <c r="Y33" s="1609">
        <v>58500</v>
      </c>
      <c r="Z33" s="1609">
        <v>62250</v>
      </c>
    </row>
    <row r="34" spans="2:26">
      <c r="B34" s="1613" t="s">
        <v>429</v>
      </c>
      <c r="C34" s="1609">
        <v>24400</v>
      </c>
      <c r="D34" s="1609">
        <v>27850</v>
      </c>
      <c r="E34" s="1609">
        <v>31350</v>
      </c>
      <c r="F34" s="1609">
        <v>34800</v>
      </c>
      <c r="G34" s="1609">
        <v>37600</v>
      </c>
      <c r="H34" s="1609">
        <v>40400</v>
      </c>
      <c r="I34" s="1609">
        <v>43200</v>
      </c>
      <c r="J34" s="1609">
        <v>45950</v>
      </c>
      <c r="K34" s="1609">
        <v>14650</v>
      </c>
      <c r="L34" s="1609">
        <v>18430</v>
      </c>
      <c r="M34" s="1609">
        <v>23190</v>
      </c>
      <c r="N34" s="1609">
        <v>27950</v>
      </c>
      <c r="O34" s="1609">
        <v>32710</v>
      </c>
      <c r="P34" s="1609">
        <v>37470</v>
      </c>
      <c r="Q34" s="1609">
        <v>42230</v>
      </c>
      <c r="R34" s="1609">
        <v>45950</v>
      </c>
      <c r="S34" s="1609">
        <v>39000</v>
      </c>
      <c r="T34" s="1609">
        <v>44600</v>
      </c>
      <c r="U34" s="1609">
        <v>50150</v>
      </c>
      <c r="V34" s="1609">
        <v>55700</v>
      </c>
      <c r="W34" s="1609">
        <v>60200</v>
      </c>
      <c r="X34" s="1609">
        <v>64650</v>
      </c>
      <c r="Y34" s="1609">
        <v>69100</v>
      </c>
      <c r="Z34" s="1609">
        <v>73550</v>
      </c>
    </row>
    <row r="35" spans="2:26">
      <c r="B35" s="1613" t="s">
        <v>430</v>
      </c>
      <c r="C35" s="1609">
        <v>35200</v>
      </c>
      <c r="D35" s="1609">
        <v>40200</v>
      </c>
      <c r="E35" s="1609">
        <v>45250</v>
      </c>
      <c r="F35" s="1609">
        <v>50250</v>
      </c>
      <c r="G35" s="1609">
        <v>54300</v>
      </c>
      <c r="H35" s="1609">
        <v>58300</v>
      </c>
      <c r="I35" s="1609">
        <v>62350</v>
      </c>
      <c r="J35" s="1609">
        <v>66350</v>
      </c>
      <c r="K35" s="1609">
        <v>21150</v>
      </c>
      <c r="L35" s="1609">
        <v>24150</v>
      </c>
      <c r="M35" s="1609">
        <v>27150</v>
      </c>
      <c r="N35" s="1609">
        <v>30150</v>
      </c>
      <c r="O35" s="1609">
        <v>32710</v>
      </c>
      <c r="P35" s="1609">
        <v>37470</v>
      </c>
      <c r="Q35" s="1609">
        <v>42230</v>
      </c>
      <c r="R35" s="1609">
        <v>47010</v>
      </c>
      <c r="S35" s="1609">
        <v>56350</v>
      </c>
      <c r="T35" s="1609">
        <v>64400</v>
      </c>
      <c r="U35" s="1609">
        <v>72450</v>
      </c>
      <c r="V35" s="1609">
        <v>80450</v>
      </c>
      <c r="W35" s="1609">
        <v>86900</v>
      </c>
      <c r="X35" s="1609">
        <v>93350</v>
      </c>
      <c r="Y35" s="1609">
        <v>99800</v>
      </c>
      <c r="Z35" s="1609">
        <v>106200</v>
      </c>
    </row>
    <row r="36" spans="2:26">
      <c r="B36" s="1613" t="s">
        <v>431</v>
      </c>
      <c r="C36" s="1609">
        <v>31900</v>
      </c>
      <c r="D36" s="1609">
        <v>36450</v>
      </c>
      <c r="E36" s="1609">
        <v>41000</v>
      </c>
      <c r="F36" s="1609">
        <v>45550</v>
      </c>
      <c r="G36" s="1609">
        <v>49200</v>
      </c>
      <c r="H36" s="1609">
        <v>52850</v>
      </c>
      <c r="I36" s="1609">
        <v>56500</v>
      </c>
      <c r="J36" s="1609">
        <v>60150</v>
      </c>
      <c r="K36" s="1609">
        <v>19150</v>
      </c>
      <c r="L36" s="1609">
        <v>21900</v>
      </c>
      <c r="M36" s="1609">
        <v>24650</v>
      </c>
      <c r="N36" s="1609">
        <v>27950</v>
      </c>
      <c r="O36" s="1609">
        <v>32710</v>
      </c>
      <c r="P36" s="1609">
        <v>37470</v>
      </c>
      <c r="Q36" s="1609">
        <v>42230</v>
      </c>
      <c r="R36" s="1609">
        <v>47010</v>
      </c>
      <c r="S36" s="1609">
        <v>46000</v>
      </c>
      <c r="T36" s="1609">
        <v>52600</v>
      </c>
      <c r="U36" s="1609">
        <v>59150</v>
      </c>
      <c r="V36" s="1609">
        <v>65700</v>
      </c>
      <c r="W36" s="1609">
        <v>71000</v>
      </c>
      <c r="X36" s="1609">
        <v>76250</v>
      </c>
      <c r="Y36" s="1609">
        <v>81500</v>
      </c>
      <c r="Z36" s="1609">
        <v>86750</v>
      </c>
    </row>
    <row r="37" spans="2:26">
      <c r="B37" s="1613" t="s">
        <v>432</v>
      </c>
      <c r="C37" s="1609">
        <v>28700</v>
      </c>
      <c r="D37" s="1609">
        <v>32800</v>
      </c>
      <c r="E37" s="1609">
        <v>36900</v>
      </c>
      <c r="F37" s="1609">
        <v>41000</v>
      </c>
      <c r="G37" s="1609">
        <v>44300</v>
      </c>
      <c r="H37" s="1609">
        <v>47600</v>
      </c>
      <c r="I37" s="1609">
        <v>50850</v>
      </c>
      <c r="J37" s="1609">
        <v>54150</v>
      </c>
      <c r="K37" s="1609">
        <v>17250</v>
      </c>
      <c r="L37" s="1609">
        <v>19700</v>
      </c>
      <c r="M37" s="1609">
        <v>23190</v>
      </c>
      <c r="N37" s="1609">
        <v>27950</v>
      </c>
      <c r="O37" s="1609">
        <v>32710</v>
      </c>
      <c r="P37" s="1609">
        <v>37470</v>
      </c>
      <c r="Q37" s="1609">
        <v>42230</v>
      </c>
      <c r="R37" s="1609">
        <v>47010</v>
      </c>
      <c r="S37" s="1609">
        <v>45950</v>
      </c>
      <c r="T37" s="1609">
        <v>52500</v>
      </c>
      <c r="U37" s="1609">
        <v>59050</v>
      </c>
      <c r="V37" s="1609">
        <v>65600</v>
      </c>
      <c r="W37" s="1609">
        <v>70850</v>
      </c>
      <c r="X37" s="1609">
        <v>76100</v>
      </c>
      <c r="Y37" s="1609">
        <v>81350</v>
      </c>
      <c r="Z37" s="1609">
        <v>86600</v>
      </c>
    </row>
    <row r="38" spans="2:26">
      <c r="B38" s="1613" t="s">
        <v>433</v>
      </c>
      <c r="C38" s="1609">
        <v>28200</v>
      </c>
      <c r="D38" s="1609">
        <v>32200</v>
      </c>
      <c r="E38" s="1609">
        <v>36250</v>
      </c>
      <c r="F38" s="1609">
        <v>40250</v>
      </c>
      <c r="G38" s="1609">
        <v>43500</v>
      </c>
      <c r="H38" s="1609">
        <v>46700</v>
      </c>
      <c r="I38" s="1609">
        <v>49950</v>
      </c>
      <c r="J38" s="1609">
        <v>53150</v>
      </c>
      <c r="K38" s="1609">
        <v>16950</v>
      </c>
      <c r="L38" s="1609">
        <v>19350</v>
      </c>
      <c r="M38" s="1609">
        <v>23190</v>
      </c>
      <c r="N38" s="1609">
        <v>27950</v>
      </c>
      <c r="O38" s="1609">
        <v>32710</v>
      </c>
      <c r="P38" s="1609">
        <v>37470</v>
      </c>
      <c r="Q38" s="1609">
        <v>42230</v>
      </c>
      <c r="R38" s="1609">
        <v>47010</v>
      </c>
      <c r="S38" s="1609">
        <v>45100</v>
      </c>
      <c r="T38" s="1609">
        <v>51550</v>
      </c>
      <c r="U38" s="1609">
        <v>58000</v>
      </c>
      <c r="V38" s="1609">
        <v>64400</v>
      </c>
      <c r="W38" s="1609">
        <v>69600</v>
      </c>
      <c r="X38" s="1609">
        <v>74750</v>
      </c>
      <c r="Y38" s="1609">
        <v>79900</v>
      </c>
      <c r="Z38" s="1609">
        <v>85050</v>
      </c>
    </row>
    <row r="39" spans="2:26">
      <c r="B39" s="1613" t="s">
        <v>434</v>
      </c>
      <c r="C39" s="1609">
        <v>21850</v>
      </c>
      <c r="D39" s="1609">
        <v>25000</v>
      </c>
      <c r="E39" s="1609">
        <v>28100</v>
      </c>
      <c r="F39" s="1609">
        <v>31200</v>
      </c>
      <c r="G39" s="1609">
        <v>33700</v>
      </c>
      <c r="H39" s="1609">
        <v>36200</v>
      </c>
      <c r="I39" s="1609">
        <v>38700</v>
      </c>
      <c r="J39" s="1609">
        <v>41200</v>
      </c>
      <c r="K39" s="1609">
        <v>13100</v>
      </c>
      <c r="L39" s="1609">
        <v>16020</v>
      </c>
      <c r="M39" s="1609">
        <v>20160</v>
      </c>
      <c r="N39" s="1609">
        <v>24300</v>
      </c>
      <c r="O39" s="1609">
        <v>28440</v>
      </c>
      <c r="P39" s="1609">
        <v>32580</v>
      </c>
      <c r="Q39" s="1609">
        <v>36730</v>
      </c>
      <c r="R39" s="1609">
        <v>40890</v>
      </c>
      <c r="S39" s="1609">
        <v>34950</v>
      </c>
      <c r="T39" s="1609">
        <v>39950</v>
      </c>
      <c r="U39" s="1609">
        <v>44950</v>
      </c>
      <c r="V39" s="1609">
        <v>49900</v>
      </c>
      <c r="W39" s="1609">
        <v>53900</v>
      </c>
      <c r="X39" s="1609">
        <v>57900</v>
      </c>
      <c r="Y39" s="1609">
        <v>61900</v>
      </c>
      <c r="Z39" s="1609">
        <v>65900</v>
      </c>
    </row>
    <row r="40" spans="2:26">
      <c r="B40" s="1613" t="s">
        <v>435</v>
      </c>
      <c r="C40" s="1609">
        <v>18100</v>
      </c>
      <c r="D40" s="1609">
        <v>20700</v>
      </c>
      <c r="E40" s="1609">
        <v>23300</v>
      </c>
      <c r="F40" s="1609">
        <v>25850</v>
      </c>
      <c r="G40" s="1609">
        <v>27950</v>
      </c>
      <c r="H40" s="1609">
        <v>30000</v>
      </c>
      <c r="I40" s="1609">
        <v>32100</v>
      </c>
      <c r="J40" s="1609">
        <v>34150</v>
      </c>
      <c r="K40" s="1609">
        <v>11880</v>
      </c>
      <c r="L40" s="1609">
        <v>16020</v>
      </c>
      <c r="M40" s="1609">
        <v>20160</v>
      </c>
      <c r="N40" s="1609">
        <v>24300</v>
      </c>
      <c r="O40" s="1609">
        <v>27950</v>
      </c>
      <c r="P40" s="1609">
        <v>30000</v>
      </c>
      <c r="Q40" s="1609">
        <v>32100</v>
      </c>
      <c r="R40" s="1609">
        <v>34150</v>
      </c>
      <c r="S40" s="1609">
        <v>28950</v>
      </c>
      <c r="T40" s="1609">
        <v>33100</v>
      </c>
      <c r="U40" s="1609">
        <v>37250</v>
      </c>
      <c r="V40" s="1609">
        <v>41350</v>
      </c>
      <c r="W40" s="1609">
        <v>44700</v>
      </c>
      <c r="X40" s="1609">
        <v>48000</v>
      </c>
      <c r="Y40" s="1609">
        <v>51300</v>
      </c>
      <c r="Z40" s="1609">
        <v>54600</v>
      </c>
    </row>
    <row r="41" spans="2:26">
      <c r="B41" s="1613" t="s">
        <v>436</v>
      </c>
      <c r="C41" s="1609">
        <v>21100</v>
      </c>
      <c r="D41" s="1609">
        <v>24100</v>
      </c>
      <c r="E41" s="1609">
        <v>27100</v>
      </c>
      <c r="F41" s="1609">
        <v>30100</v>
      </c>
      <c r="G41" s="1609">
        <v>32550</v>
      </c>
      <c r="H41" s="1609">
        <v>34950</v>
      </c>
      <c r="I41" s="1609">
        <v>37350</v>
      </c>
      <c r="J41" s="1609">
        <v>39750</v>
      </c>
      <c r="K41" s="1609">
        <v>12650</v>
      </c>
      <c r="L41" s="1609">
        <v>16020</v>
      </c>
      <c r="M41" s="1609">
        <v>20160</v>
      </c>
      <c r="N41" s="1609">
        <v>24300</v>
      </c>
      <c r="O41" s="1609">
        <v>28440</v>
      </c>
      <c r="P41" s="1609">
        <v>32580</v>
      </c>
      <c r="Q41" s="1609">
        <v>36730</v>
      </c>
      <c r="R41" s="1609">
        <v>39750</v>
      </c>
      <c r="S41" s="1609">
        <v>33750</v>
      </c>
      <c r="T41" s="1609">
        <v>38550</v>
      </c>
      <c r="U41" s="1609">
        <v>43350</v>
      </c>
      <c r="V41" s="1609">
        <v>48150</v>
      </c>
      <c r="W41" s="1609">
        <v>52050</v>
      </c>
      <c r="X41" s="1609">
        <v>55900</v>
      </c>
      <c r="Y41" s="1609">
        <v>59750</v>
      </c>
      <c r="Z41" s="1609">
        <v>63600</v>
      </c>
    </row>
    <row r="42" spans="2:26">
      <c r="B42" s="1613" t="s">
        <v>437</v>
      </c>
      <c r="C42" s="1609">
        <v>18100</v>
      </c>
      <c r="D42" s="1609">
        <v>20700</v>
      </c>
      <c r="E42" s="1609">
        <v>23300</v>
      </c>
      <c r="F42" s="1609">
        <v>25850</v>
      </c>
      <c r="G42" s="1609">
        <v>27950</v>
      </c>
      <c r="H42" s="1609">
        <v>30000</v>
      </c>
      <c r="I42" s="1609">
        <v>32100</v>
      </c>
      <c r="J42" s="1609">
        <v>34150</v>
      </c>
      <c r="K42" s="1609">
        <v>11880</v>
      </c>
      <c r="L42" s="1609">
        <v>16020</v>
      </c>
      <c r="M42" s="1609">
        <v>20160</v>
      </c>
      <c r="N42" s="1609">
        <v>24300</v>
      </c>
      <c r="O42" s="1609">
        <v>27950</v>
      </c>
      <c r="P42" s="1609">
        <v>30000</v>
      </c>
      <c r="Q42" s="1609">
        <v>32100</v>
      </c>
      <c r="R42" s="1609">
        <v>34150</v>
      </c>
      <c r="S42" s="1609">
        <v>28950</v>
      </c>
      <c r="T42" s="1609">
        <v>33100</v>
      </c>
      <c r="U42" s="1609">
        <v>37250</v>
      </c>
      <c r="V42" s="1609">
        <v>41350</v>
      </c>
      <c r="W42" s="1609">
        <v>44700</v>
      </c>
      <c r="X42" s="1609">
        <v>48000</v>
      </c>
      <c r="Y42" s="1609">
        <v>51300</v>
      </c>
      <c r="Z42" s="1609">
        <v>54600</v>
      </c>
    </row>
    <row r="43" spans="2:26">
      <c r="B43" s="1613" t="s">
        <v>438</v>
      </c>
      <c r="C43" s="1609">
        <v>18100</v>
      </c>
      <c r="D43" s="1609">
        <v>20700</v>
      </c>
      <c r="E43" s="1609">
        <v>23300</v>
      </c>
      <c r="F43" s="1609">
        <v>25850</v>
      </c>
      <c r="G43" s="1609">
        <v>27950</v>
      </c>
      <c r="H43" s="1609">
        <v>30000</v>
      </c>
      <c r="I43" s="1609">
        <v>32100</v>
      </c>
      <c r="J43" s="1609">
        <v>34150</v>
      </c>
      <c r="K43" s="1609">
        <v>11880</v>
      </c>
      <c r="L43" s="1609">
        <v>16020</v>
      </c>
      <c r="M43" s="1609">
        <v>20160</v>
      </c>
      <c r="N43" s="1609">
        <v>24300</v>
      </c>
      <c r="O43" s="1609">
        <v>27950</v>
      </c>
      <c r="P43" s="1609">
        <v>30000</v>
      </c>
      <c r="Q43" s="1609">
        <v>32100</v>
      </c>
      <c r="R43" s="1609">
        <v>34150</v>
      </c>
      <c r="S43" s="1609">
        <v>28950</v>
      </c>
      <c r="T43" s="1609">
        <v>33100</v>
      </c>
      <c r="U43" s="1609">
        <v>37250</v>
      </c>
      <c r="V43" s="1609">
        <v>41350</v>
      </c>
      <c r="W43" s="1609">
        <v>44700</v>
      </c>
      <c r="X43" s="1609">
        <v>48000</v>
      </c>
      <c r="Y43" s="1609">
        <v>51300</v>
      </c>
      <c r="Z43" s="1609">
        <v>54600</v>
      </c>
    </row>
    <row r="44" spans="2:26">
      <c r="B44" s="1613" t="s">
        <v>439</v>
      </c>
      <c r="C44" s="1609">
        <v>19550</v>
      </c>
      <c r="D44" s="1609">
        <v>22350</v>
      </c>
      <c r="E44" s="1609">
        <v>25150</v>
      </c>
      <c r="F44" s="1609">
        <v>27900</v>
      </c>
      <c r="G44" s="1609">
        <v>30150</v>
      </c>
      <c r="H44" s="1609">
        <v>32400</v>
      </c>
      <c r="I44" s="1609">
        <v>34600</v>
      </c>
      <c r="J44" s="1609">
        <v>36850</v>
      </c>
      <c r="K44" s="1609">
        <v>11880</v>
      </c>
      <c r="L44" s="1609">
        <v>16020</v>
      </c>
      <c r="M44" s="1609">
        <v>20160</v>
      </c>
      <c r="N44" s="1609">
        <v>24300</v>
      </c>
      <c r="O44" s="1609">
        <v>28440</v>
      </c>
      <c r="P44" s="1609">
        <v>32400</v>
      </c>
      <c r="Q44" s="1609">
        <v>34600</v>
      </c>
      <c r="R44" s="1609">
        <v>36850</v>
      </c>
      <c r="S44" s="1609">
        <v>31300</v>
      </c>
      <c r="T44" s="1609">
        <v>35750</v>
      </c>
      <c r="U44" s="1609">
        <v>40200</v>
      </c>
      <c r="V44" s="1609">
        <v>44650</v>
      </c>
      <c r="W44" s="1609">
        <v>48250</v>
      </c>
      <c r="X44" s="1609">
        <v>51800</v>
      </c>
      <c r="Y44" s="1609">
        <v>55400</v>
      </c>
      <c r="Z44" s="1609">
        <v>58950</v>
      </c>
    </row>
    <row r="45" spans="2:26">
      <c r="B45" s="1613" t="s">
        <v>440</v>
      </c>
      <c r="C45" s="1609">
        <v>27550</v>
      </c>
      <c r="D45" s="1609">
        <v>31450</v>
      </c>
      <c r="E45" s="1609">
        <v>35400</v>
      </c>
      <c r="F45" s="1609">
        <v>39300</v>
      </c>
      <c r="G45" s="1609">
        <v>42450</v>
      </c>
      <c r="H45" s="1609">
        <v>45600</v>
      </c>
      <c r="I45" s="1609">
        <v>48750</v>
      </c>
      <c r="J45" s="1609">
        <v>51900</v>
      </c>
      <c r="K45" s="1609">
        <v>16550</v>
      </c>
      <c r="L45" s="1609">
        <v>18900</v>
      </c>
      <c r="M45" s="1609">
        <v>21250</v>
      </c>
      <c r="N45" s="1609">
        <v>24300</v>
      </c>
      <c r="O45" s="1609">
        <v>28440</v>
      </c>
      <c r="P45" s="1609">
        <v>32580</v>
      </c>
      <c r="Q45" s="1609">
        <v>36730</v>
      </c>
      <c r="R45" s="1609">
        <v>40890</v>
      </c>
      <c r="S45" s="1609">
        <v>44050</v>
      </c>
      <c r="T45" s="1609">
        <v>50350</v>
      </c>
      <c r="U45" s="1609">
        <v>56650</v>
      </c>
      <c r="V45" s="1609">
        <v>62900</v>
      </c>
      <c r="W45" s="1609">
        <v>67950</v>
      </c>
      <c r="X45" s="1609">
        <v>73000</v>
      </c>
      <c r="Y45" s="1609">
        <v>78000</v>
      </c>
      <c r="Z45" s="1609">
        <v>83050</v>
      </c>
    </row>
    <row r="46" spans="2:26">
      <c r="B46" s="1613" t="s">
        <v>441</v>
      </c>
      <c r="C46" s="1609">
        <v>21850</v>
      </c>
      <c r="D46" s="1609">
        <v>25000</v>
      </c>
      <c r="E46" s="1609">
        <v>28100</v>
      </c>
      <c r="F46" s="1609">
        <v>31200</v>
      </c>
      <c r="G46" s="1609">
        <v>33700</v>
      </c>
      <c r="H46" s="1609">
        <v>36200</v>
      </c>
      <c r="I46" s="1609">
        <v>38700</v>
      </c>
      <c r="J46" s="1609">
        <v>41200</v>
      </c>
      <c r="K46" s="1609">
        <v>13100</v>
      </c>
      <c r="L46" s="1609">
        <v>16020</v>
      </c>
      <c r="M46" s="1609">
        <v>20160</v>
      </c>
      <c r="N46" s="1609">
        <v>24300</v>
      </c>
      <c r="O46" s="1609">
        <v>28440</v>
      </c>
      <c r="P46" s="1609">
        <v>32580</v>
      </c>
      <c r="Q46" s="1609">
        <v>36730</v>
      </c>
      <c r="R46" s="1609">
        <v>40890</v>
      </c>
      <c r="S46" s="1609">
        <v>34950</v>
      </c>
      <c r="T46" s="1609">
        <v>39950</v>
      </c>
      <c r="U46" s="1609">
        <v>44950</v>
      </c>
      <c r="V46" s="1609">
        <v>49900</v>
      </c>
      <c r="W46" s="1609">
        <v>53900</v>
      </c>
      <c r="X46" s="1609">
        <v>57900</v>
      </c>
      <c r="Y46" s="1609">
        <v>61900</v>
      </c>
      <c r="Z46" s="1609">
        <v>65900</v>
      </c>
    </row>
    <row r="47" spans="2:26">
      <c r="B47" s="1613" t="s">
        <v>442</v>
      </c>
      <c r="C47" s="1609">
        <v>18100</v>
      </c>
      <c r="D47" s="1609">
        <v>20700</v>
      </c>
      <c r="E47" s="1609">
        <v>23300</v>
      </c>
      <c r="F47" s="1609">
        <v>25850</v>
      </c>
      <c r="G47" s="1609">
        <v>27950</v>
      </c>
      <c r="H47" s="1609">
        <v>30000</v>
      </c>
      <c r="I47" s="1609">
        <v>32100</v>
      </c>
      <c r="J47" s="1609">
        <v>34150</v>
      </c>
      <c r="K47" s="1609">
        <v>11880</v>
      </c>
      <c r="L47" s="1609">
        <v>16020</v>
      </c>
      <c r="M47" s="1609">
        <v>20160</v>
      </c>
      <c r="N47" s="1609">
        <v>24300</v>
      </c>
      <c r="O47" s="1609">
        <v>27950</v>
      </c>
      <c r="P47" s="1609">
        <v>30000</v>
      </c>
      <c r="Q47" s="1609">
        <v>32100</v>
      </c>
      <c r="R47" s="1609">
        <v>34150</v>
      </c>
      <c r="S47" s="1609">
        <v>28950</v>
      </c>
      <c r="T47" s="1609">
        <v>33100</v>
      </c>
      <c r="U47" s="1609">
        <v>37250</v>
      </c>
      <c r="V47" s="1609">
        <v>41350</v>
      </c>
      <c r="W47" s="1609">
        <v>44700</v>
      </c>
      <c r="X47" s="1609">
        <v>48000</v>
      </c>
      <c r="Y47" s="1609">
        <v>51300</v>
      </c>
      <c r="Z47" s="1609">
        <v>54600</v>
      </c>
    </row>
    <row r="48" spans="2:26">
      <c r="B48" s="1613" t="s">
        <v>443</v>
      </c>
      <c r="C48" s="1609">
        <v>20100</v>
      </c>
      <c r="D48" s="1609">
        <v>22950</v>
      </c>
      <c r="E48" s="1609">
        <v>25800</v>
      </c>
      <c r="F48" s="1609">
        <v>28650</v>
      </c>
      <c r="G48" s="1609">
        <v>30950</v>
      </c>
      <c r="H48" s="1609">
        <v>33250</v>
      </c>
      <c r="I48" s="1609">
        <v>35550</v>
      </c>
      <c r="J48" s="1609">
        <v>37850</v>
      </c>
      <c r="K48" s="1609">
        <v>12050</v>
      </c>
      <c r="L48" s="1609">
        <v>16020</v>
      </c>
      <c r="M48" s="1609">
        <v>20160</v>
      </c>
      <c r="N48" s="1609">
        <v>24300</v>
      </c>
      <c r="O48" s="1609">
        <v>28440</v>
      </c>
      <c r="P48" s="1609">
        <v>32580</v>
      </c>
      <c r="Q48" s="1609">
        <v>35550</v>
      </c>
      <c r="R48" s="1609">
        <v>37850</v>
      </c>
      <c r="S48" s="1609">
        <v>32100</v>
      </c>
      <c r="T48" s="1609">
        <v>36700</v>
      </c>
      <c r="U48" s="1609">
        <v>41300</v>
      </c>
      <c r="V48" s="1609">
        <v>45850</v>
      </c>
      <c r="W48" s="1609">
        <v>49550</v>
      </c>
      <c r="X48" s="1609">
        <v>53200</v>
      </c>
      <c r="Y48" s="1609">
        <v>56900</v>
      </c>
      <c r="Z48" s="1609">
        <v>60550</v>
      </c>
    </row>
    <row r="49" spans="2:26">
      <c r="B49" s="1613" t="s">
        <v>444</v>
      </c>
      <c r="C49" s="1609">
        <v>18100</v>
      </c>
      <c r="D49" s="1609">
        <v>20700</v>
      </c>
      <c r="E49" s="1609">
        <v>23300</v>
      </c>
      <c r="F49" s="1609">
        <v>25850</v>
      </c>
      <c r="G49" s="1609">
        <v>27950</v>
      </c>
      <c r="H49" s="1609">
        <v>30000</v>
      </c>
      <c r="I49" s="1609">
        <v>32100</v>
      </c>
      <c r="J49" s="1609">
        <v>34150</v>
      </c>
      <c r="K49" s="1609">
        <v>11880</v>
      </c>
      <c r="L49" s="1609">
        <v>16020</v>
      </c>
      <c r="M49" s="1609">
        <v>20160</v>
      </c>
      <c r="N49" s="1609">
        <v>24300</v>
      </c>
      <c r="O49" s="1609">
        <v>27950</v>
      </c>
      <c r="P49" s="1609">
        <v>30000</v>
      </c>
      <c r="Q49" s="1609">
        <v>32100</v>
      </c>
      <c r="R49" s="1609">
        <v>34150</v>
      </c>
      <c r="S49" s="1609">
        <v>28950</v>
      </c>
      <c r="T49" s="1609">
        <v>33100</v>
      </c>
      <c r="U49" s="1609">
        <v>37250</v>
      </c>
      <c r="V49" s="1609">
        <v>41350</v>
      </c>
      <c r="W49" s="1609">
        <v>44700</v>
      </c>
      <c r="X49" s="1609">
        <v>48000</v>
      </c>
      <c r="Y49" s="1609">
        <v>51300</v>
      </c>
      <c r="Z49" s="1609">
        <v>54600</v>
      </c>
    </row>
    <row r="50" spans="2:26">
      <c r="B50" s="1613" t="s">
        <v>445</v>
      </c>
      <c r="C50" s="1609">
        <v>18100</v>
      </c>
      <c r="D50" s="1609">
        <v>20700</v>
      </c>
      <c r="E50" s="1609">
        <v>23300</v>
      </c>
      <c r="F50" s="1609">
        <v>25850</v>
      </c>
      <c r="G50" s="1609">
        <v>27950</v>
      </c>
      <c r="H50" s="1609">
        <v>30000</v>
      </c>
      <c r="I50" s="1609">
        <v>32100</v>
      </c>
      <c r="J50" s="1609">
        <v>34150</v>
      </c>
      <c r="K50" s="1609">
        <v>11880</v>
      </c>
      <c r="L50" s="1609">
        <v>16020</v>
      </c>
      <c r="M50" s="1609">
        <v>20160</v>
      </c>
      <c r="N50" s="1609">
        <v>24300</v>
      </c>
      <c r="O50" s="1609">
        <v>27950</v>
      </c>
      <c r="P50" s="1609">
        <v>30000</v>
      </c>
      <c r="Q50" s="1609">
        <v>32100</v>
      </c>
      <c r="R50" s="1609">
        <v>34150</v>
      </c>
      <c r="S50" s="1609">
        <v>28950</v>
      </c>
      <c r="T50" s="1609">
        <v>33100</v>
      </c>
      <c r="U50" s="1609">
        <v>37250</v>
      </c>
      <c r="V50" s="1609">
        <v>41350</v>
      </c>
      <c r="W50" s="1609">
        <v>44700</v>
      </c>
      <c r="X50" s="1609">
        <v>48000</v>
      </c>
      <c r="Y50" s="1609">
        <v>51300</v>
      </c>
      <c r="Z50" s="1609">
        <v>54600</v>
      </c>
    </row>
    <row r="51" spans="2:26">
      <c r="B51" s="1613" t="s">
        <v>446</v>
      </c>
      <c r="C51" s="1609">
        <v>18100</v>
      </c>
      <c r="D51" s="1609">
        <v>20700</v>
      </c>
      <c r="E51" s="1609">
        <v>23300</v>
      </c>
      <c r="F51" s="1609">
        <v>25850</v>
      </c>
      <c r="G51" s="1609">
        <v>27950</v>
      </c>
      <c r="H51" s="1609">
        <v>30000</v>
      </c>
      <c r="I51" s="1609">
        <v>32100</v>
      </c>
      <c r="J51" s="1609">
        <v>34150</v>
      </c>
      <c r="K51" s="1609">
        <v>11880</v>
      </c>
      <c r="L51" s="1609">
        <v>16020</v>
      </c>
      <c r="M51" s="1609">
        <v>20160</v>
      </c>
      <c r="N51" s="1609">
        <v>24300</v>
      </c>
      <c r="O51" s="1609">
        <v>27950</v>
      </c>
      <c r="P51" s="1609">
        <v>30000</v>
      </c>
      <c r="Q51" s="1609">
        <v>32100</v>
      </c>
      <c r="R51" s="1609">
        <v>34150</v>
      </c>
      <c r="S51" s="1609">
        <v>28950</v>
      </c>
      <c r="T51" s="1609">
        <v>33100</v>
      </c>
      <c r="U51" s="1609">
        <v>37250</v>
      </c>
      <c r="V51" s="1609">
        <v>41350</v>
      </c>
      <c r="W51" s="1609">
        <v>44700</v>
      </c>
      <c r="X51" s="1609">
        <v>48000</v>
      </c>
      <c r="Y51" s="1609">
        <v>51300</v>
      </c>
      <c r="Z51" s="1609">
        <v>54600</v>
      </c>
    </row>
    <row r="52" spans="2:26">
      <c r="B52" s="1613" t="s">
        <v>447</v>
      </c>
      <c r="C52" s="1609">
        <v>21850</v>
      </c>
      <c r="D52" s="1609">
        <v>25000</v>
      </c>
      <c r="E52" s="1609">
        <v>28100</v>
      </c>
      <c r="F52" s="1609">
        <v>31200</v>
      </c>
      <c r="G52" s="1609">
        <v>33700</v>
      </c>
      <c r="H52" s="1609">
        <v>36200</v>
      </c>
      <c r="I52" s="1609">
        <v>38700</v>
      </c>
      <c r="J52" s="1609">
        <v>41200</v>
      </c>
      <c r="K52" s="1609">
        <v>13100</v>
      </c>
      <c r="L52" s="1609">
        <v>16020</v>
      </c>
      <c r="M52" s="1609">
        <v>20160</v>
      </c>
      <c r="N52" s="1609">
        <v>24300</v>
      </c>
      <c r="O52" s="1609">
        <v>28440</v>
      </c>
      <c r="P52" s="1609">
        <v>32580</v>
      </c>
      <c r="Q52" s="1609">
        <v>36730</v>
      </c>
      <c r="R52" s="1609">
        <v>40890</v>
      </c>
      <c r="S52" s="1609">
        <v>34950</v>
      </c>
      <c r="T52" s="1609">
        <v>39950</v>
      </c>
      <c r="U52" s="1609">
        <v>44950</v>
      </c>
      <c r="V52" s="1609">
        <v>49900</v>
      </c>
      <c r="W52" s="1609">
        <v>53900</v>
      </c>
      <c r="X52" s="1609">
        <v>57900</v>
      </c>
      <c r="Y52" s="1609">
        <v>61900</v>
      </c>
      <c r="Z52" s="1609">
        <v>65900</v>
      </c>
    </row>
    <row r="53" spans="2:26">
      <c r="B53" s="1613" t="s">
        <v>448</v>
      </c>
      <c r="C53" s="1609">
        <v>22850</v>
      </c>
      <c r="D53" s="1609">
        <v>26100</v>
      </c>
      <c r="E53" s="1609">
        <v>29350</v>
      </c>
      <c r="F53" s="1609">
        <v>32600</v>
      </c>
      <c r="G53" s="1609">
        <v>35250</v>
      </c>
      <c r="H53" s="1609">
        <v>37850</v>
      </c>
      <c r="I53" s="1609">
        <v>40450</v>
      </c>
      <c r="J53" s="1609">
        <v>43050</v>
      </c>
      <c r="K53" s="1609">
        <v>13700</v>
      </c>
      <c r="L53" s="1609">
        <v>16020</v>
      </c>
      <c r="M53" s="1609">
        <v>20160</v>
      </c>
      <c r="N53" s="1609">
        <v>24300</v>
      </c>
      <c r="O53" s="1609">
        <v>28440</v>
      </c>
      <c r="P53" s="1609">
        <v>32580</v>
      </c>
      <c r="Q53" s="1609">
        <v>36730</v>
      </c>
      <c r="R53" s="1609">
        <v>40890</v>
      </c>
      <c r="S53" s="1609">
        <v>36550</v>
      </c>
      <c r="T53" s="1609">
        <v>41750</v>
      </c>
      <c r="U53" s="1609">
        <v>46950</v>
      </c>
      <c r="V53" s="1609">
        <v>52150</v>
      </c>
      <c r="W53" s="1609">
        <v>56350</v>
      </c>
      <c r="X53" s="1609">
        <v>60500</v>
      </c>
      <c r="Y53" s="1609">
        <v>64700</v>
      </c>
      <c r="Z53" s="1609">
        <v>68850</v>
      </c>
    </row>
    <row r="54" spans="2:26">
      <c r="B54" s="1613" t="s">
        <v>449</v>
      </c>
      <c r="C54" s="1609">
        <v>18550</v>
      </c>
      <c r="D54" s="1609">
        <v>21200</v>
      </c>
      <c r="E54" s="1609">
        <v>23850</v>
      </c>
      <c r="F54" s="1609">
        <v>26500</v>
      </c>
      <c r="G54" s="1609">
        <v>28650</v>
      </c>
      <c r="H54" s="1609">
        <v>30750</v>
      </c>
      <c r="I54" s="1609">
        <v>32900</v>
      </c>
      <c r="J54" s="1609">
        <v>35000</v>
      </c>
      <c r="K54" s="1609">
        <v>11880</v>
      </c>
      <c r="L54" s="1609">
        <v>16020</v>
      </c>
      <c r="M54" s="1609">
        <v>20160</v>
      </c>
      <c r="N54" s="1609">
        <v>24300</v>
      </c>
      <c r="O54" s="1609">
        <v>28440</v>
      </c>
      <c r="P54" s="1609">
        <v>30750</v>
      </c>
      <c r="Q54" s="1609">
        <v>32900</v>
      </c>
      <c r="R54" s="1609">
        <v>35000</v>
      </c>
      <c r="S54" s="1609">
        <v>29700</v>
      </c>
      <c r="T54" s="1609">
        <v>33950</v>
      </c>
      <c r="U54" s="1609">
        <v>38200</v>
      </c>
      <c r="V54" s="1609">
        <v>42400</v>
      </c>
      <c r="W54" s="1609">
        <v>45800</v>
      </c>
      <c r="X54" s="1609">
        <v>49200</v>
      </c>
      <c r="Y54" s="1609">
        <v>52600</v>
      </c>
      <c r="Z54" s="1609">
        <v>56000</v>
      </c>
    </row>
    <row r="55" spans="2:26">
      <c r="B55" s="1613" t="s">
        <v>450</v>
      </c>
      <c r="C55" s="1609">
        <v>18100</v>
      </c>
      <c r="D55" s="1609">
        <v>20700</v>
      </c>
      <c r="E55" s="1609">
        <v>23300</v>
      </c>
      <c r="F55" s="1609">
        <v>25850</v>
      </c>
      <c r="G55" s="1609">
        <v>27950</v>
      </c>
      <c r="H55" s="1609">
        <v>30000</v>
      </c>
      <c r="I55" s="1609">
        <v>32100</v>
      </c>
      <c r="J55" s="1609">
        <v>34150</v>
      </c>
      <c r="K55" s="1609">
        <v>11880</v>
      </c>
      <c r="L55" s="1609">
        <v>16020</v>
      </c>
      <c r="M55" s="1609">
        <v>20160</v>
      </c>
      <c r="N55" s="1609">
        <v>24300</v>
      </c>
      <c r="O55" s="1609">
        <v>27950</v>
      </c>
      <c r="P55" s="1609">
        <v>30000</v>
      </c>
      <c r="Q55" s="1609">
        <v>32100</v>
      </c>
      <c r="R55" s="1609">
        <v>34150</v>
      </c>
      <c r="S55" s="1609">
        <v>28950</v>
      </c>
      <c r="T55" s="1609">
        <v>33100</v>
      </c>
      <c r="U55" s="1609">
        <v>37250</v>
      </c>
      <c r="V55" s="1609">
        <v>41350</v>
      </c>
      <c r="W55" s="1609">
        <v>44700</v>
      </c>
      <c r="X55" s="1609">
        <v>48000</v>
      </c>
      <c r="Y55" s="1609">
        <v>51300</v>
      </c>
      <c r="Z55" s="1609">
        <v>54600</v>
      </c>
    </row>
    <row r="56" spans="2:26">
      <c r="B56" s="1613" t="s">
        <v>451</v>
      </c>
      <c r="C56" s="1609">
        <v>18100</v>
      </c>
      <c r="D56" s="1609">
        <v>20700</v>
      </c>
      <c r="E56" s="1609">
        <v>23300</v>
      </c>
      <c r="F56" s="1609">
        <v>25850</v>
      </c>
      <c r="G56" s="1609">
        <v>27950</v>
      </c>
      <c r="H56" s="1609">
        <v>30000</v>
      </c>
      <c r="I56" s="1609">
        <v>32100</v>
      </c>
      <c r="J56" s="1609">
        <v>34150</v>
      </c>
      <c r="K56" s="1609">
        <v>11880</v>
      </c>
      <c r="L56" s="1609">
        <v>16020</v>
      </c>
      <c r="M56" s="1609">
        <v>20160</v>
      </c>
      <c r="N56" s="1609">
        <v>24300</v>
      </c>
      <c r="O56" s="1609">
        <v>27950</v>
      </c>
      <c r="P56" s="1609">
        <v>30000</v>
      </c>
      <c r="Q56" s="1609">
        <v>32100</v>
      </c>
      <c r="R56" s="1609">
        <v>34150</v>
      </c>
      <c r="S56" s="1609">
        <v>28950</v>
      </c>
      <c r="T56" s="1609">
        <v>33100</v>
      </c>
      <c r="U56" s="1609">
        <v>37250</v>
      </c>
      <c r="V56" s="1609">
        <v>41350</v>
      </c>
      <c r="W56" s="1609">
        <v>44700</v>
      </c>
      <c r="X56" s="1609">
        <v>48000</v>
      </c>
      <c r="Y56" s="1609">
        <v>51300</v>
      </c>
      <c r="Z56" s="1609">
        <v>54600</v>
      </c>
    </row>
    <row r="57" spans="2:26">
      <c r="B57" s="1613" t="s">
        <v>452</v>
      </c>
      <c r="C57" s="1609">
        <v>21950</v>
      </c>
      <c r="D57" s="1609">
        <v>25050</v>
      </c>
      <c r="E57" s="1609">
        <v>28200</v>
      </c>
      <c r="F57" s="1609">
        <v>31300</v>
      </c>
      <c r="G57" s="1609">
        <v>33850</v>
      </c>
      <c r="H57" s="1609">
        <v>36350</v>
      </c>
      <c r="I57" s="1609">
        <v>38850</v>
      </c>
      <c r="J57" s="1609">
        <v>41350</v>
      </c>
      <c r="K57" s="1609">
        <v>13200</v>
      </c>
      <c r="L57" s="1609">
        <v>16020</v>
      </c>
      <c r="M57" s="1609">
        <v>20160</v>
      </c>
      <c r="N57" s="1609">
        <v>24300</v>
      </c>
      <c r="O57" s="1609">
        <v>28440</v>
      </c>
      <c r="P57" s="1609">
        <v>32580</v>
      </c>
      <c r="Q57" s="1609">
        <v>36730</v>
      </c>
      <c r="R57" s="1609">
        <v>40890</v>
      </c>
      <c r="S57" s="1609">
        <v>35100</v>
      </c>
      <c r="T57" s="1609">
        <v>40100</v>
      </c>
      <c r="U57" s="1609">
        <v>45100</v>
      </c>
      <c r="V57" s="1609">
        <v>50100</v>
      </c>
      <c r="W57" s="1609">
        <v>54150</v>
      </c>
      <c r="X57" s="1609">
        <v>58150</v>
      </c>
      <c r="Y57" s="1609">
        <v>62150</v>
      </c>
      <c r="Z57" s="1609">
        <v>66150</v>
      </c>
    </row>
    <row r="58" spans="2:26">
      <c r="B58" s="1613" t="s">
        <v>453</v>
      </c>
      <c r="C58" s="1609">
        <v>18100</v>
      </c>
      <c r="D58" s="1609">
        <v>20700</v>
      </c>
      <c r="E58" s="1609">
        <v>23300</v>
      </c>
      <c r="F58" s="1609">
        <v>25850</v>
      </c>
      <c r="G58" s="1609">
        <v>27950</v>
      </c>
      <c r="H58" s="1609">
        <v>30000</v>
      </c>
      <c r="I58" s="1609">
        <v>32100</v>
      </c>
      <c r="J58" s="1609">
        <v>34150</v>
      </c>
      <c r="K58" s="1609">
        <v>11880</v>
      </c>
      <c r="L58" s="1609">
        <v>16020</v>
      </c>
      <c r="M58" s="1609">
        <v>20160</v>
      </c>
      <c r="N58" s="1609">
        <v>24300</v>
      </c>
      <c r="O58" s="1609">
        <v>27950</v>
      </c>
      <c r="P58" s="1609">
        <v>30000</v>
      </c>
      <c r="Q58" s="1609">
        <v>32100</v>
      </c>
      <c r="R58" s="1609">
        <v>34150</v>
      </c>
      <c r="S58" s="1609">
        <v>28950</v>
      </c>
      <c r="T58" s="1609">
        <v>33100</v>
      </c>
      <c r="U58" s="1609">
        <v>37250</v>
      </c>
      <c r="V58" s="1609">
        <v>41350</v>
      </c>
      <c r="W58" s="1609">
        <v>44700</v>
      </c>
      <c r="X58" s="1609">
        <v>48000</v>
      </c>
      <c r="Y58" s="1609">
        <v>51300</v>
      </c>
      <c r="Z58" s="1609">
        <v>54600</v>
      </c>
    </row>
    <row r="59" spans="2:26">
      <c r="B59" s="1613" t="s">
        <v>454</v>
      </c>
      <c r="C59" s="1609">
        <v>22450</v>
      </c>
      <c r="D59" s="1609">
        <v>25650</v>
      </c>
      <c r="E59" s="1609">
        <v>28850</v>
      </c>
      <c r="F59" s="1609">
        <v>32050</v>
      </c>
      <c r="G59" s="1609">
        <v>34650</v>
      </c>
      <c r="H59" s="1609">
        <v>37200</v>
      </c>
      <c r="I59" s="1609">
        <v>39750</v>
      </c>
      <c r="J59" s="1609">
        <v>42350</v>
      </c>
      <c r="K59" s="1609">
        <v>13500</v>
      </c>
      <c r="L59" s="1609">
        <v>16020</v>
      </c>
      <c r="M59" s="1609">
        <v>20160</v>
      </c>
      <c r="N59" s="1609">
        <v>24300</v>
      </c>
      <c r="O59" s="1609">
        <v>28440</v>
      </c>
      <c r="P59" s="1609">
        <v>32580</v>
      </c>
      <c r="Q59" s="1609">
        <v>36730</v>
      </c>
      <c r="R59" s="1609">
        <v>40890</v>
      </c>
      <c r="S59" s="1609">
        <v>35950</v>
      </c>
      <c r="T59" s="1609">
        <v>41050</v>
      </c>
      <c r="U59" s="1609">
        <v>46200</v>
      </c>
      <c r="V59" s="1609">
        <v>51300</v>
      </c>
      <c r="W59" s="1609">
        <v>55450</v>
      </c>
      <c r="X59" s="1609">
        <v>59550</v>
      </c>
      <c r="Y59" s="1609">
        <v>63650</v>
      </c>
      <c r="Z59" s="1609">
        <v>67750</v>
      </c>
    </row>
    <row r="60" spans="2:26">
      <c r="B60" s="1613" t="s">
        <v>455</v>
      </c>
      <c r="C60" s="1609">
        <v>18700</v>
      </c>
      <c r="D60" s="1609">
        <v>21350</v>
      </c>
      <c r="E60" s="1609">
        <v>24000</v>
      </c>
      <c r="F60" s="1609">
        <v>26650</v>
      </c>
      <c r="G60" s="1609">
        <v>28800</v>
      </c>
      <c r="H60" s="1609">
        <v>30950</v>
      </c>
      <c r="I60" s="1609">
        <v>33050</v>
      </c>
      <c r="J60" s="1609">
        <v>35200</v>
      </c>
      <c r="K60" s="1609">
        <v>11880</v>
      </c>
      <c r="L60" s="1609">
        <v>16020</v>
      </c>
      <c r="M60" s="1609">
        <v>20160</v>
      </c>
      <c r="N60" s="1609">
        <v>24300</v>
      </c>
      <c r="O60" s="1609">
        <v>28440</v>
      </c>
      <c r="P60" s="1609">
        <v>30950</v>
      </c>
      <c r="Q60" s="1609">
        <v>33050</v>
      </c>
      <c r="R60" s="1609">
        <v>35200</v>
      </c>
      <c r="S60" s="1609">
        <v>29900</v>
      </c>
      <c r="T60" s="1609">
        <v>34150</v>
      </c>
      <c r="U60" s="1609">
        <v>38400</v>
      </c>
      <c r="V60" s="1609">
        <v>42650</v>
      </c>
      <c r="W60" s="1609">
        <v>46100</v>
      </c>
      <c r="X60" s="1609">
        <v>49500</v>
      </c>
      <c r="Y60" s="1609">
        <v>52900</v>
      </c>
      <c r="Z60" s="1609">
        <v>56300</v>
      </c>
    </row>
    <row r="61" spans="2:26">
      <c r="B61" s="1613" t="s">
        <v>456</v>
      </c>
      <c r="C61" s="1609">
        <v>18100</v>
      </c>
      <c r="D61" s="1609">
        <v>20700</v>
      </c>
      <c r="E61" s="1609">
        <v>23300</v>
      </c>
      <c r="F61" s="1609">
        <v>25850</v>
      </c>
      <c r="G61" s="1609">
        <v>27950</v>
      </c>
      <c r="H61" s="1609">
        <v>30000</v>
      </c>
      <c r="I61" s="1609">
        <v>32100</v>
      </c>
      <c r="J61" s="1609">
        <v>34150</v>
      </c>
      <c r="K61" s="1609">
        <v>11880</v>
      </c>
      <c r="L61" s="1609">
        <v>16020</v>
      </c>
      <c r="M61" s="1609">
        <v>20160</v>
      </c>
      <c r="N61" s="1609">
        <v>24300</v>
      </c>
      <c r="O61" s="1609">
        <v>27950</v>
      </c>
      <c r="P61" s="1609">
        <v>30000</v>
      </c>
      <c r="Q61" s="1609">
        <v>32100</v>
      </c>
      <c r="R61" s="1609">
        <v>34150</v>
      </c>
      <c r="S61" s="1609">
        <v>28950</v>
      </c>
      <c r="T61" s="1609">
        <v>33100</v>
      </c>
      <c r="U61" s="1609">
        <v>37250</v>
      </c>
      <c r="V61" s="1609">
        <v>41350</v>
      </c>
      <c r="W61" s="1609">
        <v>44700</v>
      </c>
      <c r="X61" s="1609">
        <v>48000</v>
      </c>
      <c r="Y61" s="1609">
        <v>51300</v>
      </c>
      <c r="Z61" s="1609">
        <v>54600</v>
      </c>
    </row>
    <row r="62" spans="2:26">
      <c r="B62" s="1613" t="s">
        <v>457</v>
      </c>
      <c r="C62" s="1609">
        <v>18100</v>
      </c>
      <c r="D62" s="1609">
        <v>20700</v>
      </c>
      <c r="E62" s="1609">
        <v>23300</v>
      </c>
      <c r="F62" s="1609">
        <v>25850</v>
      </c>
      <c r="G62" s="1609">
        <v>27950</v>
      </c>
      <c r="H62" s="1609">
        <v>30000</v>
      </c>
      <c r="I62" s="1609">
        <v>32100</v>
      </c>
      <c r="J62" s="1609">
        <v>34150</v>
      </c>
      <c r="K62" s="1609">
        <v>11880</v>
      </c>
      <c r="L62" s="1609">
        <v>16020</v>
      </c>
      <c r="M62" s="1609">
        <v>20160</v>
      </c>
      <c r="N62" s="1609">
        <v>24300</v>
      </c>
      <c r="O62" s="1609">
        <v>27950</v>
      </c>
      <c r="P62" s="1609">
        <v>30000</v>
      </c>
      <c r="Q62" s="1609">
        <v>32100</v>
      </c>
      <c r="R62" s="1609">
        <v>34150</v>
      </c>
      <c r="S62" s="1609">
        <v>28950</v>
      </c>
      <c r="T62" s="1609">
        <v>33100</v>
      </c>
      <c r="U62" s="1609">
        <v>37250</v>
      </c>
      <c r="V62" s="1609">
        <v>41350</v>
      </c>
      <c r="W62" s="1609">
        <v>44700</v>
      </c>
      <c r="X62" s="1609">
        <v>48000</v>
      </c>
      <c r="Y62" s="1609">
        <v>51300</v>
      </c>
      <c r="Z62" s="1609">
        <v>54600</v>
      </c>
    </row>
    <row r="63" spans="2:26">
      <c r="B63" s="1613" t="s">
        <v>458</v>
      </c>
      <c r="C63" s="1609">
        <v>18100</v>
      </c>
      <c r="D63" s="1609">
        <v>20700</v>
      </c>
      <c r="E63" s="1609">
        <v>23300</v>
      </c>
      <c r="F63" s="1609">
        <v>25850</v>
      </c>
      <c r="G63" s="1609">
        <v>27950</v>
      </c>
      <c r="H63" s="1609">
        <v>30000</v>
      </c>
      <c r="I63" s="1609">
        <v>32100</v>
      </c>
      <c r="J63" s="1609">
        <v>34150</v>
      </c>
      <c r="K63" s="1609">
        <v>11880</v>
      </c>
      <c r="L63" s="1609">
        <v>16020</v>
      </c>
      <c r="M63" s="1609">
        <v>20160</v>
      </c>
      <c r="N63" s="1609">
        <v>24300</v>
      </c>
      <c r="O63" s="1609">
        <v>27950</v>
      </c>
      <c r="P63" s="1609">
        <v>30000</v>
      </c>
      <c r="Q63" s="1609">
        <v>32100</v>
      </c>
      <c r="R63" s="1609">
        <v>34150</v>
      </c>
      <c r="S63" s="1609">
        <v>28950</v>
      </c>
      <c r="T63" s="1609">
        <v>33100</v>
      </c>
      <c r="U63" s="1609">
        <v>37250</v>
      </c>
      <c r="V63" s="1609">
        <v>41350</v>
      </c>
      <c r="W63" s="1609">
        <v>44700</v>
      </c>
      <c r="X63" s="1609">
        <v>48000</v>
      </c>
      <c r="Y63" s="1609">
        <v>51300</v>
      </c>
      <c r="Z63" s="1609">
        <v>54600</v>
      </c>
    </row>
    <row r="64" spans="2:26">
      <c r="B64" s="1613" t="s">
        <v>459</v>
      </c>
      <c r="C64" s="1609">
        <v>20100</v>
      </c>
      <c r="D64" s="1609">
        <v>22950</v>
      </c>
      <c r="E64" s="1609">
        <v>25800</v>
      </c>
      <c r="F64" s="1609">
        <v>28650</v>
      </c>
      <c r="G64" s="1609">
        <v>30950</v>
      </c>
      <c r="H64" s="1609">
        <v>33250</v>
      </c>
      <c r="I64" s="1609">
        <v>35550</v>
      </c>
      <c r="J64" s="1609">
        <v>37850</v>
      </c>
      <c r="K64" s="1609">
        <v>12050</v>
      </c>
      <c r="L64" s="1609">
        <v>16020</v>
      </c>
      <c r="M64" s="1609">
        <v>20160</v>
      </c>
      <c r="N64" s="1609">
        <v>24300</v>
      </c>
      <c r="O64" s="1609">
        <v>28440</v>
      </c>
      <c r="P64" s="1609">
        <v>32580</v>
      </c>
      <c r="Q64" s="1609">
        <v>35550</v>
      </c>
      <c r="R64" s="1609">
        <v>37850</v>
      </c>
      <c r="S64" s="1609">
        <v>32100</v>
      </c>
      <c r="T64" s="1609">
        <v>36700</v>
      </c>
      <c r="U64" s="1609">
        <v>41300</v>
      </c>
      <c r="V64" s="1609">
        <v>45850</v>
      </c>
      <c r="W64" s="1609">
        <v>49550</v>
      </c>
      <c r="X64" s="1609">
        <v>53200</v>
      </c>
      <c r="Y64" s="1609">
        <v>56900</v>
      </c>
      <c r="Z64" s="1609">
        <v>60550</v>
      </c>
    </row>
    <row r="65" spans="2:26">
      <c r="B65" s="1613" t="s">
        <v>460</v>
      </c>
      <c r="C65" s="1609">
        <v>18100</v>
      </c>
      <c r="D65" s="1609">
        <v>20700</v>
      </c>
      <c r="E65" s="1609">
        <v>23300</v>
      </c>
      <c r="F65" s="1609">
        <v>25850</v>
      </c>
      <c r="G65" s="1609">
        <v>27950</v>
      </c>
      <c r="H65" s="1609">
        <v>30000</v>
      </c>
      <c r="I65" s="1609">
        <v>32100</v>
      </c>
      <c r="J65" s="1609">
        <v>34150</v>
      </c>
      <c r="K65" s="1609">
        <v>11880</v>
      </c>
      <c r="L65" s="1609">
        <v>16020</v>
      </c>
      <c r="M65" s="1609">
        <v>20160</v>
      </c>
      <c r="N65" s="1609">
        <v>24300</v>
      </c>
      <c r="O65" s="1609">
        <v>27950</v>
      </c>
      <c r="P65" s="1609">
        <v>30000</v>
      </c>
      <c r="Q65" s="1609">
        <v>32100</v>
      </c>
      <c r="R65" s="1609">
        <v>34150</v>
      </c>
      <c r="S65" s="1609">
        <v>28950</v>
      </c>
      <c r="T65" s="1609">
        <v>33100</v>
      </c>
      <c r="U65" s="1609">
        <v>37250</v>
      </c>
      <c r="V65" s="1609">
        <v>41350</v>
      </c>
      <c r="W65" s="1609">
        <v>44700</v>
      </c>
      <c r="X65" s="1609">
        <v>48000</v>
      </c>
      <c r="Y65" s="1609">
        <v>51300</v>
      </c>
      <c r="Z65" s="1609">
        <v>54600</v>
      </c>
    </row>
    <row r="66" spans="2:26">
      <c r="B66" s="1613" t="s">
        <v>461</v>
      </c>
      <c r="C66" s="1609">
        <v>21500</v>
      </c>
      <c r="D66" s="1609">
        <v>24600</v>
      </c>
      <c r="E66" s="1609">
        <v>27650</v>
      </c>
      <c r="F66" s="1609">
        <v>30700</v>
      </c>
      <c r="G66" s="1609">
        <v>33200</v>
      </c>
      <c r="H66" s="1609">
        <v>35650</v>
      </c>
      <c r="I66" s="1609">
        <v>38100</v>
      </c>
      <c r="J66" s="1609">
        <v>40550</v>
      </c>
      <c r="K66" s="1609">
        <v>12900</v>
      </c>
      <c r="L66" s="1609">
        <v>16020</v>
      </c>
      <c r="M66" s="1609">
        <v>20160</v>
      </c>
      <c r="N66" s="1609">
        <v>24300</v>
      </c>
      <c r="O66" s="1609">
        <v>28440</v>
      </c>
      <c r="P66" s="1609">
        <v>32580</v>
      </c>
      <c r="Q66" s="1609">
        <v>36730</v>
      </c>
      <c r="R66" s="1609">
        <v>40550</v>
      </c>
      <c r="S66" s="1609">
        <v>34400</v>
      </c>
      <c r="T66" s="1609">
        <v>39300</v>
      </c>
      <c r="U66" s="1609">
        <v>44200</v>
      </c>
      <c r="V66" s="1609">
        <v>49100</v>
      </c>
      <c r="W66" s="1609">
        <v>53050</v>
      </c>
      <c r="X66" s="1609">
        <v>57000</v>
      </c>
      <c r="Y66" s="1609">
        <v>60900</v>
      </c>
      <c r="Z66" s="1609">
        <v>64850</v>
      </c>
    </row>
    <row r="67" spans="2:26">
      <c r="B67" s="1613" t="s">
        <v>462</v>
      </c>
      <c r="C67" s="1609">
        <v>21900</v>
      </c>
      <c r="D67" s="1609">
        <v>25000</v>
      </c>
      <c r="E67" s="1609">
        <v>28150</v>
      </c>
      <c r="F67" s="1609">
        <v>31250</v>
      </c>
      <c r="G67" s="1609">
        <v>33750</v>
      </c>
      <c r="H67" s="1609">
        <v>36250</v>
      </c>
      <c r="I67" s="1609">
        <v>38750</v>
      </c>
      <c r="J67" s="1609">
        <v>41250</v>
      </c>
      <c r="K67" s="1609">
        <v>13150</v>
      </c>
      <c r="L67" s="1609">
        <v>16020</v>
      </c>
      <c r="M67" s="1609">
        <v>20160</v>
      </c>
      <c r="N67" s="1609">
        <v>24300</v>
      </c>
      <c r="O67" s="1609">
        <v>28440</v>
      </c>
      <c r="P67" s="1609">
        <v>32580</v>
      </c>
      <c r="Q67" s="1609">
        <v>36730</v>
      </c>
      <c r="R67" s="1609">
        <v>40890</v>
      </c>
      <c r="S67" s="1609">
        <v>35000</v>
      </c>
      <c r="T67" s="1609">
        <v>40000</v>
      </c>
      <c r="U67" s="1609">
        <v>45000</v>
      </c>
      <c r="V67" s="1609">
        <v>50000</v>
      </c>
      <c r="W67" s="1609">
        <v>54000</v>
      </c>
      <c r="X67" s="1609">
        <v>58000</v>
      </c>
      <c r="Y67" s="1609">
        <v>62000</v>
      </c>
      <c r="Z67" s="1609">
        <v>66000</v>
      </c>
    </row>
    <row r="68" spans="2:26">
      <c r="B68" s="1613" t="s">
        <v>463</v>
      </c>
      <c r="C68" s="1609">
        <v>19300</v>
      </c>
      <c r="D68" s="1609">
        <v>22050</v>
      </c>
      <c r="E68" s="1609">
        <v>24800</v>
      </c>
      <c r="F68" s="1609">
        <v>27550</v>
      </c>
      <c r="G68" s="1609">
        <v>29800</v>
      </c>
      <c r="H68" s="1609">
        <v>32000</v>
      </c>
      <c r="I68" s="1609">
        <v>34200</v>
      </c>
      <c r="J68" s="1609">
        <v>36400</v>
      </c>
      <c r="K68" s="1609">
        <v>11880</v>
      </c>
      <c r="L68" s="1609">
        <v>16020</v>
      </c>
      <c r="M68" s="1609">
        <v>20160</v>
      </c>
      <c r="N68" s="1609">
        <v>24300</v>
      </c>
      <c r="O68" s="1609">
        <v>28440</v>
      </c>
      <c r="P68" s="1609">
        <v>32000</v>
      </c>
      <c r="Q68" s="1609">
        <v>34200</v>
      </c>
      <c r="R68" s="1609">
        <v>36400</v>
      </c>
      <c r="S68" s="1609">
        <v>30900</v>
      </c>
      <c r="T68" s="1609">
        <v>35300</v>
      </c>
      <c r="U68" s="1609">
        <v>39700</v>
      </c>
      <c r="V68" s="1609">
        <v>44100</v>
      </c>
      <c r="W68" s="1609">
        <v>47650</v>
      </c>
      <c r="X68" s="1609">
        <v>51200</v>
      </c>
      <c r="Y68" s="1609">
        <v>54700</v>
      </c>
      <c r="Z68" s="1609">
        <v>58250</v>
      </c>
    </row>
    <row r="69" spans="2:26">
      <c r="B69" s="1613" t="s">
        <v>464</v>
      </c>
      <c r="C69" s="1609">
        <v>18100</v>
      </c>
      <c r="D69" s="1609">
        <v>20700</v>
      </c>
      <c r="E69" s="1609">
        <v>23300</v>
      </c>
      <c r="F69" s="1609">
        <v>25850</v>
      </c>
      <c r="G69" s="1609">
        <v>27950</v>
      </c>
      <c r="H69" s="1609">
        <v>30000</v>
      </c>
      <c r="I69" s="1609">
        <v>32100</v>
      </c>
      <c r="J69" s="1609">
        <v>34150</v>
      </c>
      <c r="K69" s="1609">
        <v>11880</v>
      </c>
      <c r="L69" s="1609">
        <v>16020</v>
      </c>
      <c r="M69" s="1609">
        <v>20160</v>
      </c>
      <c r="N69" s="1609">
        <v>24300</v>
      </c>
      <c r="O69" s="1609">
        <v>27950</v>
      </c>
      <c r="P69" s="1609">
        <v>30000</v>
      </c>
      <c r="Q69" s="1609">
        <v>32100</v>
      </c>
      <c r="R69" s="1609">
        <v>34150</v>
      </c>
      <c r="S69" s="1609">
        <v>28950</v>
      </c>
      <c r="T69" s="1609">
        <v>33100</v>
      </c>
      <c r="U69" s="1609">
        <v>37250</v>
      </c>
      <c r="V69" s="1609">
        <v>41350</v>
      </c>
      <c r="W69" s="1609">
        <v>44700</v>
      </c>
      <c r="X69" s="1609">
        <v>48000</v>
      </c>
      <c r="Y69" s="1609">
        <v>51300</v>
      </c>
      <c r="Z69" s="1609">
        <v>54600</v>
      </c>
    </row>
    <row r="70" spans="2:26">
      <c r="B70" s="1613" t="s">
        <v>465</v>
      </c>
      <c r="C70" s="1609">
        <v>18100</v>
      </c>
      <c r="D70" s="1609">
        <v>20700</v>
      </c>
      <c r="E70" s="1609">
        <v>23300</v>
      </c>
      <c r="F70" s="1609">
        <v>25850</v>
      </c>
      <c r="G70" s="1609">
        <v>27950</v>
      </c>
      <c r="H70" s="1609">
        <v>30000</v>
      </c>
      <c r="I70" s="1609">
        <v>32100</v>
      </c>
      <c r="J70" s="1609">
        <v>34150</v>
      </c>
      <c r="K70" s="1609">
        <v>11880</v>
      </c>
      <c r="L70" s="1609">
        <v>16020</v>
      </c>
      <c r="M70" s="1609">
        <v>20160</v>
      </c>
      <c r="N70" s="1609">
        <v>24300</v>
      </c>
      <c r="O70" s="1609">
        <v>27950</v>
      </c>
      <c r="P70" s="1609">
        <v>30000</v>
      </c>
      <c r="Q70" s="1609">
        <v>32100</v>
      </c>
      <c r="R70" s="1609">
        <v>34150</v>
      </c>
      <c r="S70" s="1609">
        <v>28950</v>
      </c>
      <c r="T70" s="1609">
        <v>33100</v>
      </c>
      <c r="U70" s="1609">
        <v>37250</v>
      </c>
      <c r="V70" s="1609">
        <v>41350</v>
      </c>
      <c r="W70" s="1609">
        <v>44700</v>
      </c>
      <c r="X70" s="1609">
        <v>48000</v>
      </c>
      <c r="Y70" s="1609">
        <v>51300</v>
      </c>
      <c r="Z70" s="1609">
        <v>54600</v>
      </c>
    </row>
    <row r="71" spans="2:26">
      <c r="B71" s="1613" t="s">
        <v>466</v>
      </c>
      <c r="C71" s="1609">
        <v>18100</v>
      </c>
      <c r="D71" s="1609">
        <v>20700</v>
      </c>
      <c r="E71" s="1609">
        <v>23300</v>
      </c>
      <c r="F71" s="1609">
        <v>25850</v>
      </c>
      <c r="G71" s="1609">
        <v>27950</v>
      </c>
      <c r="H71" s="1609">
        <v>30000</v>
      </c>
      <c r="I71" s="1609">
        <v>32100</v>
      </c>
      <c r="J71" s="1609">
        <v>34150</v>
      </c>
      <c r="K71" s="1609">
        <v>11880</v>
      </c>
      <c r="L71" s="1609">
        <v>16020</v>
      </c>
      <c r="M71" s="1609">
        <v>20160</v>
      </c>
      <c r="N71" s="1609">
        <v>24300</v>
      </c>
      <c r="O71" s="1609">
        <v>27950</v>
      </c>
      <c r="P71" s="1609">
        <v>30000</v>
      </c>
      <c r="Q71" s="1609">
        <v>32100</v>
      </c>
      <c r="R71" s="1609">
        <v>34150</v>
      </c>
      <c r="S71" s="1609">
        <v>28950</v>
      </c>
      <c r="T71" s="1609">
        <v>33100</v>
      </c>
      <c r="U71" s="1609">
        <v>37250</v>
      </c>
      <c r="V71" s="1609">
        <v>41350</v>
      </c>
      <c r="W71" s="1609">
        <v>44700</v>
      </c>
      <c r="X71" s="1609">
        <v>48000</v>
      </c>
      <c r="Y71" s="1609">
        <v>51300</v>
      </c>
      <c r="Z71" s="1609">
        <v>54600</v>
      </c>
    </row>
    <row r="72" spans="2:26">
      <c r="B72" s="1613" t="s">
        <v>467</v>
      </c>
      <c r="C72" s="1609">
        <v>18100</v>
      </c>
      <c r="D72" s="1609">
        <v>20700</v>
      </c>
      <c r="E72" s="1609">
        <v>23300</v>
      </c>
      <c r="F72" s="1609">
        <v>25850</v>
      </c>
      <c r="G72" s="1609">
        <v>27950</v>
      </c>
      <c r="H72" s="1609">
        <v>30000</v>
      </c>
      <c r="I72" s="1609">
        <v>32100</v>
      </c>
      <c r="J72" s="1609">
        <v>34150</v>
      </c>
      <c r="K72" s="1609">
        <v>11880</v>
      </c>
      <c r="L72" s="1609">
        <v>16020</v>
      </c>
      <c r="M72" s="1609">
        <v>20160</v>
      </c>
      <c r="N72" s="1609">
        <v>24300</v>
      </c>
      <c r="O72" s="1609">
        <v>27950</v>
      </c>
      <c r="P72" s="1609">
        <v>30000</v>
      </c>
      <c r="Q72" s="1609">
        <v>32100</v>
      </c>
      <c r="R72" s="1609">
        <v>34150</v>
      </c>
      <c r="S72" s="1609">
        <v>28950</v>
      </c>
      <c r="T72" s="1609">
        <v>33100</v>
      </c>
      <c r="U72" s="1609">
        <v>37250</v>
      </c>
      <c r="V72" s="1609">
        <v>41350</v>
      </c>
      <c r="W72" s="1609">
        <v>44700</v>
      </c>
      <c r="X72" s="1609">
        <v>48000</v>
      </c>
      <c r="Y72" s="1609">
        <v>51300</v>
      </c>
      <c r="Z72" s="1609">
        <v>54600</v>
      </c>
    </row>
    <row r="73" spans="2:26">
      <c r="B73" s="1613" t="s">
        <v>468</v>
      </c>
      <c r="C73" s="1609">
        <v>20800</v>
      </c>
      <c r="D73" s="1609">
        <v>23800</v>
      </c>
      <c r="E73" s="1609">
        <v>26750</v>
      </c>
      <c r="F73" s="1609">
        <v>29700</v>
      </c>
      <c r="G73" s="1609">
        <v>32100</v>
      </c>
      <c r="H73" s="1609">
        <v>34500</v>
      </c>
      <c r="I73" s="1609">
        <v>36850</v>
      </c>
      <c r="J73" s="1609">
        <v>39250</v>
      </c>
      <c r="K73" s="1609">
        <v>12500</v>
      </c>
      <c r="L73" s="1609">
        <v>16020</v>
      </c>
      <c r="M73" s="1609">
        <v>20160</v>
      </c>
      <c r="N73" s="1609">
        <v>24300</v>
      </c>
      <c r="O73" s="1609">
        <v>28440</v>
      </c>
      <c r="P73" s="1609">
        <v>32580</v>
      </c>
      <c r="Q73" s="1609">
        <v>36730</v>
      </c>
      <c r="R73" s="1609">
        <v>39250</v>
      </c>
      <c r="S73" s="1609">
        <v>33250</v>
      </c>
      <c r="T73" s="1609">
        <v>38000</v>
      </c>
      <c r="U73" s="1609">
        <v>42750</v>
      </c>
      <c r="V73" s="1609">
        <v>47500</v>
      </c>
      <c r="W73" s="1609">
        <v>51300</v>
      </c>
      <c r="X73" s="1609">
        <v>55100</v>
      </c>
      <c r="Y73" s="1609">
        <v>58900</v>
      </c>
      <c r="Z73" s="1609">
        <v>62700</v>
      </c>
    </row>
    <row r="74" spans="2:26">
      <c r="B74" s="1613" t="s">
        <v>469</v>
      </c>
      <c r="C74" s="1609">
        <v>18100</v>
      </c>
      <c r="D74" s="1609">
        <v>20700</v>
      </c>
      <c r="E74" s="1609">
        <v>23300</v>
      </c>
      <c r="F74" s="1609">
        <v>25850</v>
      </c>
      <c r="G74" s="1609">
        <v>27950</v>
      </c>
      <c r="H74" s="1609">
        <v>30000</v>
      </c>
      <c r="I74" s="1609">
        <v>32100</v>
      </c>
      <c r="J74" s="1609">
        <v>34150</v>
      </c>
      <c r="K74" s="1609">
        <v>11880</v>
      </c>
      <c r="L74" s="1609">
        <v>16020</v>
      </c>
      <c r="M74" s="1609">
        <v>20160</v>
      </c>
      <c r="N74" s="1609">
        <v>24300</v>
      </c>
      <c r="O74" s="1609">
        <v>27950</v>
      </c>
      <c r="P74" s="1609">
        <v>30000</v>
      </c>
      <c r="Q74" s="1609">
        <v>32100</v>
      </c>
      <c r="R74" s="1609">
        <v>34150</v>
      </c>
      <c r="S74" s="1609">
        <v>28950</v>
      </c>
      <c r="T74" s="1609">
        <v>33100</v>
      </c>
      <c r="U74" s="1609">
        <v>37250</v>
      </c>
      <c r="V74" s="1609">
        <v>41350</v>
      </c>
      <c r="W74" s="1609">
        <v>44700</v>
      </c>
      <c r="X74" s="1609">
        <v>48000</v>
      </c>
      <c r="Y74" s="1609">
        <v>51300</v>
      </c>
      <c r="Z74" s="1609">
        <v>54600</v>
      </c>
    </row>
    <row r="75" spans="2:26">
      <c r="B75" s="1613" t="s">
        <v>470</v>
      </c>
      <c r="C75" s="1609">
        <v>21850</v>
      </c>
      <c r="D75" s="1609">
        <v>25000</v>
      </c>
      <c r="E75" s="1609">
        <v>28100</v>
      </c>
      <c r="F75" s="1609">
        <v>31200</v>
      </c>
      <c r="G75" s="1609">
        <v>33700</v>
      </c>
      <c r="H75" s="1609">
        <v>36200</v>
      </c>
      <c r="I75" s="1609">
        <v>38700</v>
      </c>
      <c r="J75" s="1609">
        <v>41200</v>
      </c>
      <c r="K75" s="1609">
        <v>13100</v>
      </c>
      <c r="L75" s="1609">
        <v>16020</v>
      </c>
      <c r="M75" s="1609">
        <v>20160</v>
      </c>
      <c r="N75" s="1609">
        <v>24300</v>
      </c>
      <c r="O75" s="1609">
        <v>28440</v>
      </c>
      <c r="P75" s="1609">
        <v>32580</v>
      </c>
      <c r="Q75" s="1609">
        <v>36730</v>
      </c>
      <c r="R75" s="1609">
        <v>40890</v>
      </c>
      <c r="S75" s="1609">
        <v>34950</v>
      </c>
      <c r="T75" s="1609">
        <v>39950</v>
      </c>
      <c r="U75" s="1609">
        <v>44950</v>
      </c>
      <c r="V75" s="1609">
        <v>49900</v>
      </c>
      <c r="W75" s="1609">
        <v>53900</v>
      </c>
      <c r="X75" s="1609">
        <v>57900</v>
      </c>
      <c r="Y75" s="1609">
        <v>61900</v>
      </c>
      <c r="Z75" s="1609">
        <v>65900</v>
      </c>
    </row>
    <row r="76" spans="2:26">
      <c r="B76" s="1613" t="s">
        <v>471</v>
      </c>
      <c r="C76" s="1609">
        <v>18700</v>
      </c>
      <c r="D76" s="1609">
        <v>21400</v>
      </c>
      <c r="E76" s="1609">
        <v>24050</v>
      </c>
      <c r="F76" s="1609">
        <v>26700</v>
      </c>
      <c r="G76" s="1609">
        <v>28850</v>
      </c>
      <c r="H76" s="1609">
        <v>31000</v>
      </c>
      <c r="I76" s="1609">
        <v>33150</v>
      </c>
      <c r="J76" s="1609">
        <v>35250</v>
      </c>
      <c r="K76" s="1609">
        <v>11880</v>
      </c>
      <c r="L76" s="1609">
        <v>16020</v>
      </c>
      <c r="M76" s="1609">
        <v>20160</v>
      </c>
      <c r="N76" s="1609">
        <v>24300</v>
      </c>
      <c r="O76" s="1609">
        <v>28440</v>
      </c>
      <c r="P76" s="1609">
        <v>31000</v>
      </c>
      <c r="Q76" s="1609">
        <v>33150</v>
      </c>
      <c r="R76" s="1609">
        <v>35250</v>
      </c>
      <c r="S76" s="1609">
        <v>29900</v>
      </c>
      <c r="T76" s="1609">
        <v>34200</v>
      </c>
      <c r="U76" s="1609">
        <v>38450</v>
      </c>
      <c r="V76" s="1609">
        <v>42700</v>
      </c>
      <c r="W76" s="1609">
        <v>46150</v>
      </c>
      <c r="X76" s="1609">
        <v>49550</v>
      </c>
      <c r="Y76" s="1609">
        <v>52950</v>
      </c>
      <c r="Z76" s="1609">
        <v>56400</v>
      </c>
    </row>
    <row r="77" spans="2:26">
      <c r="B77" s="1613" t="s">
        <v>472</v>
      </c>
      <c r="C77" s="1609">
        <v>19150</v>
      </c>
      <c r="D77" s="1609">
        <v>21850</v>
      </c>
      <c r="E77" s="1609">
        <v>24600</v>
      </c>
      <c r="F77" s="1609">
        <v>27300</v>
      </c>
      <c r="G77" s="1609">
        <v>29500</v>
      </c>
      <c r="H77" s="1609">
        <v>31700</v>
      </c>
      <c r="I77" s="1609">
        <v>33900</v>
      </c>
      <c r="J77" s="1609">
        <v>36050</v>
      </c>
      <c r="K77" s="1609">
        <v>11880</v>
      </c>
      <c r="L77" s="1609">
        <v>16020</v>
      </c>
      <c r="M77" s="1609">
        <v>20160</v>
      </c>
      <c r="N77" s="1609">
        <v>24300</v>
      </c>
      <c r="O77" s="1609">
        <v>28440</v>
      </c>
      <c r="P77" s="1609">
        <v>31700</v>
      </c>
      <c r="Q77" s="1609">
        <v>33900</v>
      </c>
      <c r="R77" s="1609">
        <v>36050</v>
      </c>
      <c r="S77" s="1609">
        <v>30600</v>
      </c>
      <c r="T77" s="1609">
        <v>35000</v>
      </c>
      <c r="U77" s="1609">
        <v>39350</v>
      </c>
      <c r="V77" s="1609">
        <v>43700</v>
      </c>
      <c r="W77" s="1609">
        <v>47200</v>
      </c>
      <c r="X77" s="1609">
        <v>50700</v>
      </c>
      <c r="Y77" s="1609">
        <v>54200</v>
      </c>
      <c r="Z77" s="1609">
        <v>57700</v>
      </c>
    </row>
    <row r="78" spans="2:26">
      <c r="B78" s="1613" t="s">
        <v>473</v>
      </c>
      <c r="C78" s="1609">
        <v>18100</v>
      </c>
      <c r="D78" s="1609">
        <v>20700</v>
      </c>
      <c r="E78" s="1609">
        <v>23300</v>
      </c>
      <c r="F78" s="1609">
        <v>25850</v>
      </c>
      <c r="G78" s="1609">
        <v>27950</v>
      </c>
      <c r="H78" s="1609">
        <v>30000</v>
      </c>
      <c r="I78" s="1609">
        <v>32100</v>
      </c>
      <c r="J78" s="1609">
        <v>34150</v>
      </c>
      <c r="K78" s="1609">
        <v>11880</v>
      </c>
      <c r="L78" s="1609">
        <v>16020</v>
      </c>
      <c r="M78" s="1609">
        <v>20160</v>
      </c>
      <c r="N78" s="1609">
        <v>24300</v>
      </c>
      <c r="O78" s="1609">
        <v>27950</v>
      </c>
      <c r="P78" s="1609">
        <v>30000</v>
      </c>
      <c r="Q78" s="1609">
        <v>32100</v>
      </c>
      <c r="R78" s="1609">
        <v>34150</v>
      </c>
      <c r="S78" s="1609">
        <v>28950</v>
      </c>
      <c r="T78" s="1609">
        <v>33100</v>
      </c>
      <c r="U78" s="1609">
        <v>37250</v>
      </c>
      <c r="V78" s="1609">
        <v>41350</v>
      </c>
      <c r="W78" s="1609">
        <v>44700</v>
      </c>
      <c r="X78" s="1609">
        <v>48000</v>
      </c>
      <c r="Y78" s="1609">
        <v>51300</v>
      </c>
      <c r="Z78" s="1609">
        <v>54600</v>
      </c>
    </row>
    <row r="79" spans="2:26">
      <c r="B79" s="1613" t="s">
        <v>474</v>
      </c>
      <c r="C79" s="1609">
        <v>22400</v>
      </c>
      <c r="D79" s="1609">
        <v>25600</v>
      </c>
      <c r="E79" s="1609">
        <v>28800</v>
      </c>
      <c r="F79" s="1609">
        <v>32000</v>
      </c>
      <c r="G79" s="1609">
        <v>34600</v>
      </c>
      <c r="H79" s="1609">
        <v>37150</v>
      </c>
      <c r="I79" s="1609">
        <v>39700</v>
      </c>
      <c r="J79" s="1609">
        <v>42250</v>
      </c>
      <c r="K79" s="1609">
        <v>13450</v>
      </c>
      <c r="L79" s="1609">
        <v>16020</v>
      </c>
      <c r="M79" s="1609">
        <v>20160</v>
      </c>
      <c r="N79" s="1609">
        <v>24300</v>
      </c>
      <c r="O79" s="1609">
        <v>28440</v>
      </c>
      <c r="P79" s="1609">
        <v>32580</v>
      </c>
      <c r="Q79" s="1609">
        <v>36730</v>
      </c>
      <c r="R79" s="1609">
        <v>40890</v>
      </c>
      <c r="S79" s="1609">
        <v>35850</v>
      </c>
      <c r="T79" s="1609">
        <v>41000</v>
      </c>
      <c r="U79" s="1609">
        <v>46100</v>
      </c>
      <c r="V79" s="1609">
        <v>51200</v>
      </c>
      <c r="W79" s="1609">
        <v>55300</v>
      </c>
      <c r="X79" s="1609">
        <v>59400</v>
      </c>
      <c r="Y79" s="1609">
        <v>63500</v>
      </c>
      <c r="Z79" s="1609">
        <v>67600</v>
      </c>
    </row>
    <row r="80" spans="2:26">
      <c r="B80" s="1613" t="s">
        <v>475</v>
      </c>
      <c r="C80" s="1609">
        <v>19150</v>
      </c>
      <c r="D80" s="1609">
        <v>21900</v>
      </c>
      <c r="E80" s="1609">
        <v>24650</v>
      </c>
      <c r="F80" s="1609">
        <v>27350</v>
      </c>
      <c r="G80" s="1609">
        <v>29550</v>
      </c>
      <c r="H80" s="1609">
        <v>31750</v>
      </c>
      <c r="I80" s="1609">
        <v>33950</v>
      </c>
      <c r="J80" s="1609">
        <v>36150</v>
      </c>
      <c r="K80" s="1609">
        <v>11880</v>
      </c>
      <c r="L80" s="1609">
        <v>16020</v>
      </c>
      <c r="M80" s="1609">
        <v>20160</v>
      </c>
      <c r="N80" s="1609">
        <v>24300</v>
      </c>
      <c r="O80" s="1609">
        <v>28440</v>
      </c>
      <c r="P80" s="1609">
        <v>31750</v>
      </c>
      <c r="Q80" s="1609">
        <v>33950</v>
      </c>
      <c r="R80" s="1609">
        <v>36150</v>
      </c>
      <c r="S80" s="1609">
        <v>30650</v>
      </c>
      <c r="T80" s="1609">
        <v>35000</v>
      </c>
      <c r="U80" s="1609">
        <v>39400</v>
      </c>
      <c r="V80" s="1609">
        <v>43750</v>
      </c>
      <c r="W80" s="1609">
        <v>47250</v>
      </c>
      <c r="X80" s="1609">
        <v>50750</v>
      </c>
      <c r="Y80" s="1609">
        <v>54250</v>
      </c>
      <c r="Z80" s="1609">
        <v>57750</v>
      </c>
    </row>
    <row r="81" spans="2:26">
      <c r="B81" s="1613" t="s">
        <v>476</v>
      </c>
      <c r="C81" s="1609">
        <v>22000</v>
      </c>
      <c r="D81" s="1609">
        <v>25150</v>
      </c>
      <c r="E81" s="1609">
        <v>28300</v>
      </c>
      <c r="F81" s="1609">
        <v>31400</v>
      </c>
      <c r="G81" s="1609">
        <v>33950</v>
      </c>
      <c r="H81" s="1609">
        <v>36450</v>
      </c>
      <c r="I81" s="1609">
        <v>38950</v>
      </c>
      <c r="J81" s="1609">
        <v>41450</v>
      </c>
      <c r="K81" s="1609">
        <v>13200</v>
      </c>
      <c r="L81" s="1609">
        <v>16020</v>
      </c>
      <c r="M81" s="1609">
        <v>20160</v>
      </c>
      <c r="N81" s="1609">
        <v>24300</v>
      </c>
      <c r="O81" s="1609">
        <v>28440</v>
      </c>
      <c r="P81" s="1609">
        <v>32580</v>
      </c>
      <c r="Q81" s="1609">
        <v>36730</v>
      </c>
      <c r="R81" s="1609">
        <v>40890</v>
      </c>
      <c r="S81" s="1609">
        <v>35250</v>
      </c>
      <c r="T81" s="1609">
        <v>40250</v>
      </c>
      <c r="U81" s="1609">
        <v>45300</v>
      </c>
      <c r="V81" s="1609">
        <v>50300</v>
      </c>
      <c r="W81" s="1609">
        <v>54350</v>
      </c>
      <c r="X81" s="1609">
        <v>58350</v>
      </c>
      <c r="Y81" s="1609">
        <v>62400</v>
      </c>
      <c r="Z81" s="1609">
        <v>66400</v>
      </c>
    </row>
    <row r="82" spans="2:26">
      <c r="B82" s="1613" t="s">
        <v>477</v>
      </c>
      <c r="C82" s="1609">
        <v>18100</v>
      </c>
      <c r="D82" s="1609">
        <v>20700</v>
      </c>
      <c r="E82" s="1609">
        <v>23300</v>
      </c>
      <c r="F82" s="1609">
        <v>25850</v>
      </c>
      <c r="G82" s="1609">
        <v>27950</v>
      </c>
      <c r="H82" s="1609">
        <v>30000</v>
      </c>
      <c r="I82" s="1609">
        <v>32100</v>
      </c>
      <c r="J82" s="1609">
        <v>34150</v>
      </c>
      <c r="K82" s="1609">
        <v>11880</v>
      </c>
      <c r="L82" s="1609">
        <v>16020</v>
      </c>
      <c r="M82" s="1609">
        <v>20160</v>
      </c>
      <c r="N82" s="1609">
        <v>24300</v>
      </c>
      <c r="O82" s="1609">
        <v>27950</v>
      </c>
      <c r="P82" s="1609">
        <v>30000</v>
      </c>
      <c r="Q82" s="1609">
        <v>32100</v>
      </c>
      <c r="R82" s="1609">
        <v>34150</v>
      </c>
      <c r="S82" s="1609">
        <v>28950</v>
      </c>
      <c r="T82" s="1609">
        <v>33100</v>
      </c>
      <c r="U82" s="1609">
        <v>37250</v>
      </c>
      <c r="V82" s="1609">
        <v>41350</v>
      </c>
      <c r="W82" s="1609">
        <v>44700</v>
      </c>
      <c r="X82" s="1609">
        <v>48000</v>
      </c>
      <c r="Y82" s="1609">
        <v>51300</v>
      </c>
      <c r="Z82" s="1609">
        <v>54600</v>
      </c>
    </row>
    <row r="83" spans="2:26">
      <c r="B83" s="1613" t="s">
        <v>478</v>
      </c>
      <c r="C83" s="1609">
        <v>21150</v>
      </c>
      <c r="D83" s="1609">
        <v>24150</v>
      </c>
      <c r="E83" s="1609">
        <v>27150</v>
      </c>
      <c r="F83" s="1609">
        <v>30150</v>
      </c>
      <c r="G83" s="1609">
        <v>32600</v>
      </c>
      <c r="H83" s="1609">
        <v>35000</v>
      </c>
      <c r="I83" s="1609">
        <v>37400</v>
      </c>
      <c r="J83" s="1609">
        <v>39800</v>
      </c>
      <c r="K83" s="1609">
        <v>12700</v>
      </c>
      <c r="L83" s="1609">
        <v>16020</v>
      </c>
      <c r="M83" s="1609">
        <v>20160</v>
      </c>
      <c r="N83" s="1609">
        <v>24300</v>
      </c>
      <c r="O83" s="1609">
        <v>28440</v>
      </c>
      <c r="P83" s="1609">
        <v>32580</v>
      </c>
      <c r="Q83" s="1609">
        <v>36730</v>
      </c>
      <c r="R83" s="1609">
        <v>39800</v>
      </c>
      <c r="S83" s="1609">
        <v>33800</v>
      </c>
      <c r="T83" s="1609">
        <v>38600</v>
      </c>
      <c r="U83" s="1609">
        <v>43450</v>
      </c>
      <c r="V83" s="1609">
        <v>48250</v>
      </c>
      <c r="W83" s="1609">
        <v>52150</v>
      </c>
      <c r="X83" s="1609">
        <v>56000</v>
      </c>
      <c r="Y83" s="1609">
        <v>59850</v>
      </c>
      <c r="Z83" s="1609">
        <v>63700</v>
      </c>
    </row>
    <row r="84" spans="2:26">
      <c r="B84" s="1613" t="s">
        <v>479</v>
      </c>
      <c r="C84" s="1609">
        <v>21150</v>
      </c>
      <c r="D84" s="1609">
        <v>24150</v>
      </c>
      <c r="E84" s="1609">
        <v>27150</v>
      </c>
      <c r="F84" s="1609">
        <v>30150</v>
      </c>
      <c r="G84" s="1609">
        <v>32600</v>
      </c>
      <c r="H84" s="1609">
        <v>35000</v>
      </c>
      <c r="I84" s="1609">
        <v>37400</v>
      </c>
      <c r="J84" s="1609">
        <v>39800</v>
      </c>
      <c r="K84" s="1609">
        <v>12700</v>
      </c>
      <c r="L84" s="1609">
        <v>16020</v>
      </c>
      <c r="M84" s="1609">
        <v>20160</v>
      </c>
      <c r="N84" s="1609">
        <v>24300</v>
      </c>
      <c r="O84" s="1609">
        <v>28440</v>
      </c>
      <c r="P84" s="1609">
        <v>32580</v>
      </c>
      <c r="Q84" s="1609">
        <v>36730</v>
      </c>
      <c r="R84" s="1609">
        <v>39800</v>
      </c>
      <c r="S84" s="1609">
        <v>33800</v>
      </c>
      <c r="T84" s="1609">
        <v>38600</v>
      </c>
      <c r="U84" s="1609">
        <v>43450</v>
      </c>
      <c r="V84" s="1609">
        <v>48250</v>
      </c>
      <c r="W84" s="1609">
        <v>52150</v>
      </c>
      <c r="X84" s="1609">
        <v>56000</v>
      </c>
      <c r="Y84" s="1609">
        <v>59850</v>
      </c>
      <c r="Z84" s="1609">
        <v>63700</v>
      </c>
    </row>
    <row r="85" spans="2:26">
      <c r="B85" s="1613" t="s">
        <v>480</v>
      </c>
      <c r="C85" s="1609">
        <v>21150</v>
      </c>
      <c r="D85" s="1609">
        <v>24150</v>
      </c>
      <c r="E85" s="1609">
        <v>27150</v>
      </c>
      <c r="F85" s="1609">
        <v>30150</v>
      </c>
      <c r="G85" s="1609">
        <v>32600</v>
      </c>
      <c r="H85" s="1609">
        <v>35000</v>
      </c>
      <c r="I85" s="1609">
        <v>37400</v>
      </c>
      <c r="J85" s="1609">
        <v>39800</v>
      </c>
      <c r="K85" s="1609">
        <v>12700</v>
      </c>
      <c r="L85" s="1609">
        <v>16020</v>
      </c>
      <c r="M85" s="1609">
        <v>20160</v>
      </c>
      <c r="N85" s="1609">
        <v>24300</v>
      </c>
      <c r="O85" s="1609">
        <v>28440</v>
      </c>
      <c r="P85" s="1609">
        <v>32580</v>
      </c>
      <c r="Q85" s="1609">
        <v>36730</v>
      </c>
      <c r="R85" s="1609">
        <v>39800</v>
      </c>
      <c r="S85" s="1609">
        <v>33800</v>
      </c>
      <c r="T85" s="1609">
        <v>38600</v>
      </c>
      <c r="U85" s="1609">
        <v>43450</v>
      </c>
      <c r="V85" s="1609">
        <v>48250</v>
      </c>
      <c r="W85" s="1609">
        <v>52150</v>
      </c>
      <c r="X85" s="1609">
        <v>56000</v>
      </c>
      <c r="Y85" s="1609">
        <v>59850</v>
      </c>
      <c r="Z85" s="1609">
        <v>63700</v>
      </c>
    </row>
    <row r="86" spans="2:26">
      <c r="B86" s="1613" t="s">
        <v>481</v>
      </c>
      <c r="C86" s="1609">
        <v>21150</v>
      </c>
      <c r="D86" s="1609">
        <v>24150</v>
      </c>
      <c r="E86" s="1609">
        <v>27150</v>
      </c>
      <c r="F86" s="1609">
        <v>30150</v>
      </c>
      <c r="G86" s="1609">
        <v>32600</v>
      </c>
      <c r="H86" s="1609">
        <v>35000</v>
      </c>
      <c r="I86" s="1609">
        <v>37400</v>
      </c>
      <c r="J86" s="1609">
        <v>39800</v>
      </c>
      <c r="K86" s="1609">
        <v>12700</v>
      </c>
      <c r="L86" s="1609">
        <v>16020</v>
      </c>
      <c r="M86" s="1609">
        <v>20160</v>
      </c>
      <c r="N86" s="1609">
        <v>24300</v>
      </c>
      <c r="O86" s="1609">
        <v>28440</v>
      </c>
      <c r="P86" s="1609">
        <v>32580</v>
      </c>
      <c r="Q86" s="1609">
        <v>36730</v>
      </c>
      <c r="R86" s="1609">
        <v>39800</v>
      </c>
      <c r="S86" s="1609">
        <v>33800</v>
      </c>
      <c r="T86" s="1609">
        <v>38600</v>
      </c>
      <c r="U86" s="1609">
        <v>43450</v>
      </c>
      <c r="V86" s="1609">
        <v>48250</v>
      </c>
      <c r="W86" s="1609">
        <v>52150</v>
      </c>
      <c r="X86" s="1609">
        <v>56000</v>
      </c>
      <c r="Y86" s="1609">
        <v>59850</v>
      </c>
      <c r="Z86" s="1609">
        <v>63700</v>
      </c>
    </row>
    <row r="87" spans="2:26">
      <c r="B87" s="1613" t="s">
        <v>482</v>
      </c>
      <c r="C87" s="1609">
        <v>23600</v>
      </c>
      <c r="D87" s="1609">
        <v>27000</v>
      </c>
      <c r="E87" s="1609">
        <v>30350</v>
      </c>
      <c r="F87" s="1609">
        <v>33700</v>
      </c>
      <c r="G87" s="1609">
        <v>36400</v>
      </c>
      <c r="H87" s="1609">
        <v>39100</v>
      </c>
      <c r="I87" s="1609">
        <v>41800</v>
      </c>
      <c r="J87" s="1609">
        <v>44500</v>
      </c>
      <c r="K87" s="1609">
        <v>14150</v>
      </c>
      <c r="L87" s="1609">
        <v>16200</v>
      </c>
      <c r="M87" s="1609">
        <v>20160</v>
      </c>
      <c r="N87" s="1609">
        <v>24300</v>
      </c>
      <c r="O87" s="1609">
        <v>28440</v>
      </c>
      <c r="P87" s="1609">
        <v>32580</v>
      </c>
      <c r="Q87" s="1609">
        <v>36730</v>
      </c>
      <c r="R87" s="1609">
        <v>40890</v>
      </c>
      <c r="S87" s="1609">
        <v>37750</v>
      </c>
      <c r="T87" s="1609">
        <v>43150</v>
      </c>
      <c r="U87" s="1609">
        <v>48550</v>
      </c>
      <c r="V87" s="1609">
        <v>53900</v>
      </c>
      <c r="W87" s="1609">
        <v>58250</v>
      </c>
      <c r="X87" s="1609">
        <v>62550</v>
      </c>
      <c r="Y87" s="1609">
        <v>66850</v>
      </c>
      <c r="Z87" s="1609">
        <v>71150</v>
      </c>
    </row>
    <row r="88" spans="2:26">
      <c r="B88" s="1613" t="s">
        <v>483</v>
      </c>
      <c r="C88" s="1609">
        <v>21600</v>
      </c>
      <c r="D88" s="1609">
        <v>24650</v>
      </c>
      <c r="E88" s="1609">
        <v>27750</v>
      </c>
      <c r="F88" s="1609">
        <v>30800</v>
      </c>
      <c r="G88" s="1609">
        <v>33300</v>
      </c>
      <c r="H88" s="1609">
        <v>35750</v>
      </c>
      <c r="I88" s="1609">
        <v>38200</v>
      </c>
      <c r="J88" s="1609">
        <v>40700</v>
      </c>
      <c r="K88" s="1609">
        <v>12950</v>
      </c>
      <c r="L88" s="1609">
        <v>16020</v>
      </c>
      <c r="M88" s="1609">
        <v>20160</v>
      </c>
      <c r="N88" s="1609">
        <v>24300</v>
      </c>
      <c r="O88" s="1609">
        <v>28440</v>
      </c>
      <c r="P88" s="1609">
        <v>32580</v>
      </c>
      <c r="Q88" s="1609">
        <v>36730</v>
      </c>
      <c r="R88" s="1609">
        <v>40700</v>
      </c>
      <c r="S88" s="1609">
        <v>34550</v>
      </c>
      <c r="T88" s="1609">
        <v>39450</v>
      </c>
      <c r="U88" s="1609">
        <v>44400</v>
      </c>
      <c r="V88" s="1609">
        <v>49300</v>
      </c>
      <c r="W88" s="1609">
        <v>53250</v>
      </c>
      <c r="X88" s="1609">
        <v>57200</v>
      </c>
      <c r="Y88" s="1609">
        <v>61150</v>
      </c>
      <c r="Z88" s="1609">
        <v>65100</v>
      </c>
    </row>
    <row r="89" spans="2:26">
      <c r="B89" s="1613" t="s">
        <v>484</v>
      </c>
      <c r="C89" s="1609">
        <v>21150</v>
      </c>
      <c r="D89" s="1609">
        <v>24150</v>
      </c>
      <c r="E89" s="1609">
        <v>27150</v>
      </c>
      <c r="F89" s="1609">
        <v>30150</v>
      </c>
      <c r="G89" s="1609">
        <v>32600</v>
      </c>
      <c r="H89" s="1609">
        <v>35000</v>
      </c>
      <c r="I89" s="1609">
        <v>37400</v>
      </c>
      <c r="J89" s="1609">
        <v>39800</v>
      </c>
      <c r="K89" s="1609">
        <v>12700</v>
      </c>
      <c r="L89" s="1609">
        <v>16020</v>
      </c>
      <c r="M89" s="1609">
        <v>20160</v>
      </c>
      <c r="N89" s="1609">
        <v>24300</v>
      </c>
      <c r="O89" s="1609">
        <v>28440</v>
      </c>
      <c r="P89" s="1609">
        <v>32580</v>
      </c>
      <c r="Q89" s="1609">
        <v>36730</v>
      </c>
      <c r="R89" s="1609">
        <v>39800</v>
      </c>
      <c r="S89" s="1609">
        <v>33800</v>
      </c>
      <c r="T89" s="1609">
        <v>38600</v>
      </c>
      <c r="U89" s="1609">
        <v>43450</v>
      </c>
      <c r="V89" s="1609">
        <v>48250</v>
      </c>
      <c r="W89" s="1609">
        <v>52150</v>
      </c>
      <c r="X89" s="1609">
        <v>56000</v>
      </c>
      <c r="Y89" s="1609">
        <v>59850</v>
      </c>
      <c r="Z89" s="1609">
        <v>63700</v>
      </c>
    </row>
    <row r="90" spans="2:26">
      <c r="B90" s="1613" t="s">
        <v>485</v>
      </c>
      <c r="C90" s="1609">
        <v>21150</v>
      </c>
      <c r="D90" s="1609">
        <v>24150</v>
      </c>
      <c r="E90" s="1609">
        <v>27150</v>
      </c>
      <c r="F90" s="1609">
        <v>30150</v>
      </c>
      <c r="G90" s="1609">
        <v>32600</v>
      </c>
      <c r="H90" s="1609">
        <v>35000</v>
      </c>
      <c r="I90" s="1609">
        <v>37400</v>
      </c>
      <c r="J90" s="1609">
        <v>39800</v>
      </c>
      <c r="K90" s="1609">
        <v>12700</v>
      </c>
      <c r="L90" s="1609">
        <v>16020</v>
      </c>
      <c r="M90" s="1609">
        <v>20160</v>
      </c>
      <c r="N90" s="1609">
        <v>24300</v>
      </c>
      <c r="O90" s="1609">
        <v>28440</v>
      </c>
      <c r="P90" s="1609">
        <v>32580</v>
      </c>
      <c r="Q90" s="1609">
        <v>36730</v>
      </c>
      <c r="R90" s="1609">
        <v>39800</v>
      </c>
      <c r="S90" s="1609">
        <v>33800</v>
      </c>
      <c r="T90" s="1609">
        <v>38600</v>
      </c>
      <c r="U90" s="1609">
        <v>43450</v>
      </c>
      <c r="V90" s="1609">
        <v>48250</v>
      </c>
      <c r="W90" s="1609">
        <v>52150</v>
      </c>
      <c r="X90" s="1609">
        <v>56000</v>
      </c>
      <c r="Y90" s="1609">
        <v>59850</v>
      </c>
      <c r="Z90" s="1609">
        <v>63700</v>
      </c>
    </row>
    <row r="91" spans="2:26">
      <c r="B91" s="1613" t="s">
        <v>486</v>
      </c>
      <c r="C91" s="1609">
        <v>21150</v>
      </c>
      <c r="D91" s="1609">
        <v>24150</v>
      </c>
      <c r="E91" s="1609">
        <v>27150</v>
      </c>
      <c r="F91" s="1609">
        <v>30150</v>
      </c>
      <c r="G91" s="1609">
        <v>32600</v>
      </c>
      <c r="H91" s="1609">
        <v>35000</v>
      </c>
      <c r="I91" s="1609">
        <v>37400</v>
      </c>
      <c r="J91" s="1609">
        <v>39800</v>
      </c>
      <c r="K91" s="1609">
        <v>12700</v>
      </c>
      <c r="L91" s="1609">
        <v>16020</v>
      </c>
      <c r="M91" s="1609">
        <v>20160</v>
      </c>
      <c r="N91" s="1609">
        <v>24300</v>
      </c>
      <c r="O91" s="1609">
        <v>28440</v>
      </c>
      <c r="P91" s="1609">
        <v>32580</v>
      </c>
      <c r="Q91" s="1609">
        <v>36730</v>
      </c>
      <c r="R91" s="1609">
        <v>39800</v>
      </c>
      <c r="S91" s="1609">
        <v>33800</v>
      </c>
      <c r="T91" s="1609">
        <v>38600</v>
      </c>
      <c r="U91" s="1609">
        <v>43450</v>
      </c>
      <c r="V91" s="1609">
        <v>48250</v>
      </c>
      <c r="W91" s="1609">
        <v>52150</v>
      </c>
      <c r="X91" s="1609">
        <v>56000</v>
      </c>
      <c r="Y91" s="1609">
        <v>59850</v>
      </c>
      <c r="Z91" s="1609">
        <v>63700</v>
      </c>
    </row>
    <row r="92" spans="2:26">
      <c r="B92" s="1613" t="s">
        <v>487</v>
      </c>
      <c r="C92" s="1609">
        <v>21600</v>
      </c>
      <c r="D92" s="1609">
        <v>24650</v>
      </c>
      <c r="E92" s="1609">
        <v>27750</v>
      </c>
      <c r="F92" s="1609">
        <v>30800</v>
      </c>
      <c r="G92" s="1609">
        <v>33300</v>
      </c>
      <c r="H92" s="1609">
        <v>35750</v>
      </c>
      <c r="I92" s="1609">
        <v>38200</v>
      </c>
      <c r="J92" s="1609">
        <v>40700</v>
      </c>
      <c r="K92" s="1609">
        <v>12950</v>
      </c>
      <c r="L92" s="1609">
        <v>16020</v>
      </c>
      <c r="M92" s="1609">
        <v>20160</v>
      </c>
      <c r="N92" s="1609">
        <v>24300</v>
      </c>
      <c r="O92" s="1609">
        <v>28440</v>
      </c>
      <c r="P92" s="1609">
        <v>32580</v>
      </c>
      <c r="Q92" s="1609">
        <v>36730</v>
      </c>
      <c r="R92" s="1609">
        <v>40700</v>
      </c>
      <c r="S92" s="1609">
        <v>34550</v>
      </c>
      <c r="T92" s="1609">
        <v>39450</v>
      </c>
      <c r="U92" s="1609">
        <v>44400</v>
      </c>
      <c r="V92" s="1609">
        <v>49300</v>
      </c>
      <c r="W92" s="1609">
        <v>53250</v>
      </c>
      <c r="X92" s="1609">
        <v>57200</v>
      </c>
      <c r="Y92" s="1609">
        <v>61150</v>
      </c>
      <c r="Z92" s="1609">
        <v>65100</v>
      </c>
    </row>
    <row r="93" spans="2:26">
      <c r="B93" s="1613" t="s">
        <v>488</v>
      </c>
      <c r="C93" s="1609">
        <v>22850</v>
      </c>
      <c r="D93" s="1609">
        <v>26100</v>
      </c>
      <c r="E93" s="1609">
        <v>29350</v>
      </c>
      <c r="F93" s="1609">
        <v>32600</v>
      </c>
      <c r="G93" s="1609">
        <v>35250</v>
      </c>
      <c r="H93" s="1609">
        <v>37850</v>
      </c>
      <c r="I93" s="1609">
        <v>40450</v>
      </c>
      <c r="J93" s="1609">
        <v>43050</v>
      </c>
      <c r="K93" s="1609">
        <v>13700</v>
      </c>
      <c r="L93" s="1609">
        <v>16020</v>
      </c>
      <c r="M93" s="1609">
        <v>20160</v>
      </c>
      <c r="N93" s="1609">
        <v>24300</v>
      </c>
      <c r="O93" s="1609">
        <v>28440</v>
      </c>
      <c r="P93" s="1609">
        <v>32580</v>
      </c>
      <c r="Q93" s="1609">
        <v>36730</v>
      </c>
      <c r="R93" s="1609">
        <v>40890</v>
      </c>
      <c r="S93" s="1609">
        <v>36550</v>
      </c>
      <c r="T93" s="1609">
        <v>41750</v>
      </c>
      <c r="U93" s="1609">
        <v>46950</v>
      </c>
      <c r="V93" s="1609">
        <v>52150</v>
      </c>
      <c r="W93" s="1609">
        <v>56350</v>
      </c>
      <c r="X93" s="1609">
        <v>60500</v>
      </c>
      <c r="Y93" s="1609">
        <v>64700</v>
      </c>
      <c r="Z93" s="1609">
        <v>68850</v>
      </c>
    </row>
    <row r="94" spans="2:26">
      <c r="B94" s="1613" t="s">
        <v>489</v>
      </c>
      <c r="C94" s="1609">
        <v>21150</v>
      </c>
      <c r="D94" s="1609">
        <v>24150</v>
      </c>
      <c r="E94" s="1609">
        <v>27150</v>
      </c>
      <c r="F94" s="1609">
        <v>30150</v>
      </c>
      <c r="G94" s="1609">
        <v>32600</v>
      </c>
      <c r="H94" s="1609">
        <v>35000</v>
      </c>
      <c r="I94" s="1609">
        <v>37400</v>
      </c>
      <c r="J94" s="1609">
        <v>39800</v>
      </c>
      <c r="K94" s="1609">
        <v>12700</v>
      </c>
      <c r="L94" s="1609">
        <v>16020</v>
      </c>
      <c r="M94" s="1609">
        <v>20160</v>
      </c>
      <c r="N94" s="1609">
        <v>24300</v>
      </c>
      <c r="O94" s="1609">
        <v>28440</v>
      </c>
      <c r="P94" s="1609">
        <v>32580</v>
      </c>
      <c r="Q94" s="1609">
        <v>36730</v>
      </c>
      <c r="R94" s="1609">
        <v>39800</v>
      </c>
      <c r="S94" s="1609">
        <v>33800</v>
      </c>
      <c r="T94" s="1609">
        <v>38600</v>
      </c>
      <c r="U94" s="1609">
        <v>43450</v>
      </c>
      <c r="V94" s="1609">
        <v>48250</v>
      </c>
      <c r="W94" s="1609">
        <v>52150</v>
      </c>
      <c r="X94" s="1609">
        <v>56000</v>
      </c>
      <c r="Y94" s="1609">
        <v>59850</v>
      </c>
      <c r="Z94" s="1609">
        <v>63700</v>
      </c>
    </row>
    <row r="95" spans="2:26">
      <c r="B95" s="1613" t="s">
        <v>490</v>
      </c>
      <c r="C95" s="1609">
        <v>23950</v>
      </c>
      <c r="D95" s="1609">
        <v>27350</v>
      </c>
      <c r="E95" s="1609">
        <v>30750</v>
      </c>
      <c r="F95" s="1609">
        <v>34150</v>
      </c>
      <c r="G95" s="1609">
        <v>36900</v>
      </c>
      <c r="H95" s="1609">
        <v>39650</v>
      </c>
      <c r="I95" s="1609">
        <v>42350</v>
      </c>
      <c r="J95" s="1609">
        <v>45100</v>
      </c>
      <c r="K95" s="1609">
        <v>14350</v>
      </c>
      <c r="L95" s="1609">
        <v>16400</v>
      </c>
      <c r="M95" s="1609">
        <v>20160</v>
      </c>
      <c r="N95" s="1609">
        <v>24300</v>
      </c>
      <c r="O95" s="1609">
        <v>28440</v>
      </c>
      <c r="P95" s="1609">
        <v>32580</v>
      </c>
      <c r="Q95" s="1609">
        <v>36730</v>
      </c>
      <c r="R95" s="1609">
        <v>40890</v>
      </c>
      <c r="S95" s="1609">
        <v>38300</v>
      </c>
      <c r="T95" s="1609">
        <v>43750</v>
      </c>
      <c r="U95" s="1609">
        <v>49200</v>
      </c>
      <c r="V95" s="1609">
        <v>54650</v>
      </c>
      <c r="W95" s="1609">
        <v>59050</v>
      </c>
      <c r="X95" s="1609">
        <v>63400</v>
      </c>
      <c r="Y95" s="1609">
        <v>67800</v>
      </c>
      <c r="Z95" s="1609">
        <v>72150</v>
      </c>
    </row>
    <row r="96" spans="2:26">
      <c r="B96" s="1613" t="s">
        <v>491</v>
      </c>
      <c r="C96" s="1609">
        <v>21150</v>
      </c>
      <c r="D96" s="1609">
        <v>24150</v>
      </c>
      <c r="E96" s="1609">
        <v>27150</v>
      </c>
      <c r="F96" s="1609">
        <v>30150</v>
      </c>
      <c r="G96" s="1609">
        <v>32600</v>
      </c>
      <c r="H96" s="1609">
        <v>35000</v>
      </c>
      <c r="I96" s="1609">
        <v>37400</v>
      </c>
      <c r="J96" s="1609">
        <v>39800</v>
      </c>
      <c r="K96" s="1609">
        <v>12700</v>
      </c>
      <c r="L96" s="1609">
        <v>16020</v>
      </c>
      <c r="M96" s="1609">
        <v>20160</v>
      </c>
      <c r="N96" s="1609">
        <v>24300</v>
      </c>
      <c r="O96" s="1609">
        <v>28440</v>
      </c>
      <c r="P96" s="1609">
        <v>32580</v>
      </c>
      <c r="Q96" s="1609">
        <v>36730</v>
      </c>
      <c r="R96" s="1609">
        <v>39800</v>
      </c>
      <c r="S96" s="1609">
        <v>33800</v>
      </c>
      <c r="T96" s="1609">
        <v>38600</v>
      </c>
      <c r="U96" s="1609">
        <v>43450</v>
      </c>
      <c r="V96" s="1609">
        <v>48250</v>
      </c>
      <c r="W96" s="1609">
        <v>52150</v>
      </c>
      <c r="X96" s="1609">
        <v>56000</v>
      </c>
      <c r="Y96" s="1609">
        <v>59850</v>
      </c>
      <c r="Z96" s="1609">
        <v>63700</v>
      </c>
    </row>
    <row r="97" spans="2:26">
      <c r="B97" s="1613" t="s">
        <v>492</v>
      </c>
      <c r="C97" s="1609">
        <v>21150</v>
      </c>
      <c r="D97" s="1609">
        <v>24200</v>
      </c>
      <c r="E97" s="1609">
        <v>27200</v>
      </c>
      <c r="F97" s="1609">
        <v>30200</v>
      </c>
      <c r="G97" s="1609">
        <v>32650</v>
      </c>
      <c r="H97" s="1609">
        <v>35050</v>
      </c>
      <c r="I97" s="1609">
        <v>37450</v>
      </c>
      <c r="J97" s="1609">
        <v>39900</v>
      </c>
      <c r="K97" s="1609">
        <v>12700</v>
      </c>
      <c r="L97" s="1609">
        <v>16020</v>
      </c>
      <c r="M97" s="1609">
        <v>20160</v>
      </c>
      <c r="N97" s="1609">
        <v>24300</v>
      </c>
      <c r="O97" s="1609">
        <v>28440</v>
      </c>
      <c r="P97" s="1609">
        <v>32580</v>
      </c>
      <c r="Q97" s="1609">
        <v>36730</v>
      </c>
      <c r="R97" s="1609">
        <v>39900</v>
      </c>
      <c r="S97" s="1609">
        <v>33850</v>
      </c>
      <c r="T97" s="1609">
        <v>38650</v>
      </c>
      <c r="U97" s="1609">
        <v>43500</v>
      </c>
      <c r="V97" s="1609">
        <v>48300</v>
      </c>
      <c r="W97" s="1609">
        <v>52200</v>
      </c>
      <c r="X97" s="1609">
        <v>56050</v>
      </c>
      <c r="Y97" s="1609">
        <v>59900</v>
      </c>
      <c r="Z97" s="1609">
        <v>63800</v>
      </c>
    </row>
    <row r="98" spans="2:26">
      <c r="B98" s="1613" t="s">
        <v>493</v>
      </c>
      <c r="C98" s="1609">
        <v>25200</v>
      </c>
      <c r="D98" s="1609">
        <v>28800</v>
      </c>
      <c r="E98" s="1609">
        <v>32400</v>
      </c>
      <c r="F98" s="1609">
        <v>36000</v>
      </c>
      <c r="G98" s="1609">
        <v>38900</v>
      </c>
      <c r="H98" s="1609">
        <v>41800</v>
      </c>
      <c r="I98" s="1609">
        <v>44650</v>
      </c>
      <c r="J98" s="1609">
        <v>47550</v>
      </c>
      <c r="K98" s="1609">
        <v>15150</v>
      </c>
      <c r="L98" s="1609">
        <v>17300</v>
      </c>
      <c r="M98" s="1609">
        <v>20160</v>
      </c>
      <c r="N98" s="1609">
        <v>24300</v>
      </c>
      <c r="O98" s="1609">
        <v>28440</v>
      </c>
      <c r="P98" s="1609">
        <v>32580</v>
      </c>
      <c r="Q98" s="1609">
        <v>36730</v>
      </c>
      <c r="R98" s="1609">
        <v>40890</v>
      </c>
      <c r="S98" s="1609">
        <v>40350</v>
      </c>
      <c r="T98" s="1609">
        <v>46100</v>
      </c>
      <c r="U98" s="1609">
        <v>51850</v>
      </c>
      <c r="V98" s="1609">
        <v>57600</v>
      </c>
      <c r="W98" s="1609">
        <v>62250</v>
      </c>
      <c r="X98" s="1609">
        <v>66850</v>
      </c>
      <c r="Y98" s="1609">
        <v>71450</v>
      </c>
      <c r="Z98" s="1609">
        <v>76050</v>
      </c>
    </row>
    <row r="99" spans="2:26">
      <c r="B99" s="1613" t="s">
        <v>494</v>
      </c>
      <c r="C99" s="1609">
        <v>21350</v>
      </c>
      <c r="D99" s="1609">
        <v>24400</v>
      </c>
      <c r="E99" s="1609">
        <v>27450</v>
      </c>
      <c r="F99" s="1609">
        <v>30500</v>
      </c>
      <c r="G99" s="1609">
        <v>32950</v>
      </c>
      <c r="H99" s="1609">
        <v>35400</v>
      </c>
      <c r="I99" s="1609">
        <v>37850</v>
      </c>
      <c r="J99" s="1609">
        <v>40300</v>
      </c>
      <c r="K99" s="1609">
        <v>12850</v>
      </c>
      <c r="L99" s="1609">
        <v>16020</v>
      </c>
      <c r="M99" s="1609">
        <v>20160</v>
      </c>
      <c r="N99" s="1609">
        <v>24300</v>
      </c>
      <c r="O99" s="1609">
        <v>28440</v>
      </c>
      <c r="P99" s="1609">
        <v>32580</v>
      </c>
      <c r="Q99" s="1609">
        <v>36730</v>
      </c>
      <c r="R99" s="1609">
        <v>40300</v>
      </c>
      <c r="S99" s="1609">
        <v>34200</v>
      </c>
      <c r="T99" s="1609">
        <v>39050</v>
      </c>
      <c r="U99" s="1609">
        <v>43950</v>
      </c>
      <c r="V99" s="1609">
        <v>48800</v>
      </c>
      <c r="W99" s="1609">
        <v>52750</v>
      </c>
      <c r="X99" s="1609">
        <v>56650</v>
      </c>
      <c r="Y99" s="1609">
        <v>60550</v>
      </c>
      <c r="Z99" s="1609">
        <v>64450</v>
      </c>
    </row>
    <row r="100" spans="2:26">
      <c r="B100" s="1613" t="s">
        <v>495</v>
      </c>
      <c r="C100" s="1609">
        <v>21150</v>
      </c>
      <c r="D100" s="1609">
        <v>24150</v>
      </c>
      <c r="E100" s="1609">
        <v>27150</v>
      </c>
      <c r="F100" s="1609">
        <v>30150</v>
      </c>
      <c r="G100" s="1609">
        <v>32600</v>
      </c>
      <c r="H100" s="1609">
        <v>35000</v>
      </c>
      <c r="I100" s="1609">
        <v>37400</v>
      </c>
      <c r="J100" s="1609">
        <v>39800</v>
      </c>
      <c r="K100" s="1609">
        <v>12700</v>
      </c>
      <c r="L100" s="1609">
        <v>16020</v>
      </c>
      <c r="M100" s="1609">
        <v>20160</v>
      </c>
      <c r="N100" s="1609">
        <v>24300</v>
      </c>
      <c r="O100" s="1609">
        <v>28440</v>
      </c>
      <c r="P100" s="1609">
        <v>32580</v>
      </c>
      <c r="Q100" s="1609">
        <v>36730</v>
      </c>
      <c r="R100" s="1609">
        <v>39800</v>
      </c>
      <c r="S100" s="1609">
        <v>33800</v>
      </c>
      <c r="T100" s="1609">
        <v>38600</v>
      </c>
      <c r="U100" s="1609">
        <v>43450</v>
      </c>
      <c r="V100" s="1609">
        <v>48250</v>
      </c>
      <c r="W100" s="1609">
        <v>52150</v>
      </c>
      <c r="X100" s="1609">
        <v>56000</v>
      </c>
      <c r="Y100" s="1609">
        <v>59850</v>
      </c>
      <c r="Z100" s="1609">
        <v>63700</v>
      </c>
    </row>
    <row r="101" spans="2:26">
      <c r="B101" s="1613" t="s">
        <v>496</v>
      </c>
      <c r="C101" s="1609">
        <v>21150</v>
      </c>
      <c r="D101" s="1609">
        <v>24150</v>
      </c>
      <c r="E101" s="1609">
        <v>27150</v>
      </c>
      <c r="F101" s="1609">
        <v>30150</v>
      </c>
      <c r="G101" s="1609">
        <v>32600</v>
      </c>
      <c r="H101" s="1609">
        <v>35000</v>
      </c>
      <c r="I101" s="1609">
        <v>37400</v>
      </c>
      <c r="J101" s="1609">
        <v>39800</v>
      </c>
      <c r="K101" s="1609">
        <v>12700</v>
      </c>
      <c r="L101" s="1609">
        <v>16020</v>
      </c>
      <c r="M101" s="1609">
        <v>20160</v>
      </c>
      <c r="N101" s="1609">
        <v>24300</v>
      </c>
      <c r="O101" s="1609">
        <v>28440</v>
      </c>
      <c r="P101" s="1609">
        <v>32580</v>
      </c>
      <c r="Q101" s="1609">
        <v>36730</v>
      </c>
      <c r="R101" s="1609">
        <v>39800</v>
      </c>
      <c r="S101" s="1609">
        <v>33800</v>
      </c>
      <c r="T101" s="1609">
        <v>38600</v>
      </c>
      <c r="U101" s="1609">
        <v>43450</v>
      </c>
      <c r="V101" s="1609">
        <v>48250</v>
      </c>
      <c r="W101" s="1609">
        <v>52150</v>
      </c>
      <c r="X101" s="1609">
        <v>56000</v>
      </c>
      <c r="Y101" s="1609">
        <v>59850</v>
      </c>
      <c r="Z101" s="1609">
        <v>63700</v>
      </c>
    </row>
    <row r="102" spans="2:26">
      <c r="B102" s="1613" t="s">
        <v>497</v>
      </c>
      <c r="C102" s="1609">
        <v>21150</v>
      </c>
      <c r="D102" s="1609">
        <v>24150</v>
      </c>
      <c r="E102" s="1609">
        <v>27150</v>
      </c>
      <c r="F102" s="1609">
        <v>30150</v>
      </c>
      <c r="G102" s="1609">
        <v>32600</v>
      </c>
      <c r="H102" s="1609">
        <v>35000</v>
      </c>
      <c r="I102" s="1609">
        <v>37400</v>
      </c>
      <c r="J102" s="1609">
        <v>39800</v>
      </c>
      <c r="K102" s="1609">
        <v>12700</v>
      </c>
      <c r="L102" s="1609">
        <v>16020</v>
      </c>
      <c r="M102" s="1609">
        <v>20160</v>
      </c>
      <c r="N102" s="1609">
        <v>24300</v>
      </c>
      <c r="O102" s="1609">
        <v>28440</v>
      </c>
      <c r="P102" s="1609">
        <v>32580</v>
      </c>
      <c r="Q102" s="1609">
        <v>36730</v>
      </c>
      <c r="R102" s="1609">
        <v>39800</v>
      </c>
      <c r="S102" s="1609">
        <v>33800</v>
      </c>
      <c r="T102" s="1609">
        <v>38600</v>
      </c>
      <c r="U102" s="1609">
        <v>43450</v>
      </c>
      <c r="V102" s="1609">
        <v>48250</v>
      </c>
      <c r="W102" s="1609">
        <v>52150</v>
      </c>
      <c r="X102" s="1609">
        <v>56000</v>
      </c>
      <c r="Y102" s="1609">
        <v>59850</v>
      </c>
      <c r="Z102" s="1609">
        <v>63700</v>
      </c>
    </row>
    <row r="103" spans="2:26">
      <c r="B103" s="1613" t="s">
        <v>498</v>
      </c>
      <c r="C103" s="1609">
        <v>21150</v>
      </c>
      <c r="D103" s="1609">
        <v>24150</v>
      </c>
      <c r="E103" s="1609">
        <v>27150</v>
      </c>
      <c r="F103" s="1609">
        <v>30150</v>
      </c>
      <c r="G103" s="1609">
        <v>32600</v>
      </c>
      <c r="H103" s="1609">
        <v>35000</v>
      </c>
      <c r="I103" s="1609">
        <v>37400</v>
      </c>
      <c r="J103" s="1609">
        <v>39800</v>
      </c>
      <c r="K103" s="1609">
        <v>12700</v>
      </c>
      <c r="L103" s="1609">
        <v>16020</v>
      </c>
      <c r="M103" s="1609">
        <v>20160</v>
      </c>
      <c r="N103" s="1609">
        <v>24300</v>
      </c>
      <c r="O103" s="1609">
        <v>28440</v>
      </c>
      <c r="P103" s="1609">
        <v>32580</v>
      </c>
      <c r="Q103" s="1609">
        <v>36730</v>
      </c>
      <c r="R103" s="1609">
        <v>39800</v>
      </c>
      <c r="S103" s="1609">
        <v>33800</v>
      </c>
      <c r="T103" s="1609">
        <v>38600</v>
      </c>
      <c r="U103" s="1609">
        <v>43450</v>
      </c>
      <c r="V103" s="1609">
        <v>48250</v>
      </c>
      <c r="W103" s="1609">
        <v>52150</v>
      </c>
      <c r="X103" s="1609">
        <v>56000</v>
      </c>
      <c r="Y103" s="1609">
        <v>59850</v>
      </c>
      <c r="Z103" s="1609">
        <v>63700</v>
      </c>
    </row>
    <row r="104" spans="2:26">
      <c r="B104" s="1613" t="s">
        <v>499</v>
      </c>
      <c r="C104" s="1609">
        <v>27500</v>
      </c>
      <c r="D104" s="1609">
        <v>31400</v>
      </c>
      <c r="E104" s="1609">
        <v>35350</v>
      </c>
      <c r="F104" s="1609">
        <v>39250</v>
      </c>
      <c r="G104" s="1609">
        <v>42400</v>
      </c>
      <c r="H104" s="1609">
        <v>45550</v>
      </c>
      <c r="I104" s="1609">
        <v>48700</v>
      </c>
      <c r="J104" s="1609">
        <v>51850</v>
      </c>
      <c r="K104" s="1609">
        <v>16500</v>
      </c>
      <c r="L104" s="1609">
        <v>18850</v>
      </c>
      <c r="M104" s="1609">
        <v>21200</v>
      </c>
      <c r="N104" s="1609">
        <v>24300</v>
      </c>
      <c r="O104" s="1609">
        <v>28440</v>
      </c>
      <c r="P104" s="1609">
        <v>32580</v>
      </c>
      <c r="Q104" s="1609">
        <v>36730</v>
      </c>
      <c r="R104" s="1609">
        <v>40890</v>
      </c>
      <c r="S104" s="1609">
        <v>44000</v>
      </c>
      <c r="T104" s="1609">
        <v>50250</v>
      </c>
      <c r="U104" s="1609">
        <v>56550</v>
      </c>
      <c r="V104" s="1609">
        <v>62800</v>
      </c>
      <c r="W104" s="1609">
        <v>67850</v>
      </c>
      <c r="X104" s="1609">
        <v>72850</v>
      </c>
      <c r="Y104" s="1609">
        <v>77900</v>
      </c>
      <c r="Z104" s="1609">
        <v>82900</v>
      </c>
    </row>
    <row r="105" spans="2:26">
      <c r="B105" s="1613" t="s">
        <v>500</v>
      </c>
      <c r="C105" s="1609">
        <v>21150</v>
      </c>
      <c r="D105" s="1609">
        <v>24150</v>
      </c>
      <c r="E105" s="1609">
        <v>27150</v>
      </c>
      <c r="F105" s="1609">
        <v>30150</v>
      </c>
      <c r="G105" s="1609">
        <v>32600</v>
      </c>
      <c r="H105" s="1609">
        <v>35000</v>
      </c>
      <c r="I105" s="1609">
        <v>37400</v>
      </c>
      <c r="J105" s="1609">
        <v>39800</v>
      </c>
      <c r="K105" s="1609">
        <v>12700</v>
      </c>
      <c r="L105" s="1609">
        <v>16020</v>
      </c>
      <c r="M105" s="1609">
        <v>20160</v>
      </c>
      <c r="N105" s="1609">
        <v>24300</v>
      </c>
      <c r="O105" s="1609">
        <v>28440</v>
      </c>
      <c r="P105" s="1609">
        <v>32580</v>
      </c>
      <c r="Q105" s="1609">
        <v>36730</v>
      </c>
      <c r="R105" s="1609">
        <v>39800</v>
      </c>
      <c r="S105" s="1609">
        <v>33800</v>
      </c>
      <c r="T105" s="1609">
        <v>38600</v>
      </c>
      <c r="U105" s="1609">
        <v>43450</v>
      </c>
      <c r="V105" s="1609">
        <v>48250</v>
      </c>
      <c r="W105" s="1609">
        <v>52150</v>
      </c>
      <c r="X105" s="1609">
        <v>56000</v>
      </c>
      <c r="Y105" s="1609">
        <v>59850</v>
      </c>
      <c r="Z105" s="1609">
        <v>63700</v>
      </c>
    </row>
    <row r="106" spans="2:26">
      <c r="B106" s="1613" t="s">
        <v>501</v>
      </c>
      <c r="C106" s="1609">
        <v>21150</v>
      </c>
      <c r="D106" s="1609">
        <v>24150</v>
      </c>
      <c r="E106" s="1609">
        <v>27150</v>
      </c>
      <c r="F106" s="1609">
        <v>30150</v>
      </c>
      <c r="G106" s="1609">
        <v>32600</v>
      </c>
      <c r="H106" s="1609">
        <v>35000</v>
      </c>
      <c r="I106" s="1609">
        <v>37400</v>
      </c>
      <c r="J106" s="1609">
        <v>39800</v>
      </c>
      <c r="K106" s="1609">
        <v>12700</v>
      </c>
      <c r="L106" s="1609">
        <v>16020</v>
      </c>
      <c r="M106" s="1609">
        <v>20160</v>
      </c>
      <c r="N106" s="1609">
        <v>24300</v>
      </c>
      <c r="O106" s="1609">
        <v>28440</v>
      </c>
      <c r="P106" s="1609">
        <v>32580</v>
      </c>
      <c r="Q106" s="1609">
        <v>36730</v>
      </c>
      <c r="R106" s="1609">
        <v>39800</v>
      </c>
      <c r="S106" s="1609">
        <v>33800</v>
      </c>
      <c r="T106" s="1609">
        <v>38600</v>
      </c>
      <c r="U106" s="1609">
        <v>43450</v>
      </c>
      <c r="V106" s="1609">
        <v>48250</v>
      </c>
      <c r="W106" s="1609">
        <v>52150</v>
      </c>
      <c r="X106" s="1609">
        <v>56000</v>
      </c>
      <c r="Y106" s="1609">
        <v>59850</v>
      </c>
      <c r="Z106" s="1609">
        <v>63700</v>
      </c>
    </row>
    <row r="107" spans="2:26">
      <c r="B107" s="1613" t="s">
        <v>502</v>
      </c>
      <c r="C107" s="1609">
        <v>24500</v>
      </c>
      <c r="D107" s="1609">
        <v>28000</v>
      </c>
      <c r="E107" s="1609">
        <v>31500</v>
      </c>
      <c r="F107" s="1609">
        <v>35000</v>
      </c>
      <c r="G107" s="1609">
        <v>37800</v>
      </c>
      <c r="H107" s="1609">
        <v>40600</v>
      </c>
      <c r="I107" s="1609">
        <v>43400</v>
      </c>
      <c r="J107" s="1609">
        <v>46200</v>
      </c>
      <c r="K107" s="1609">
        <v>14700</v>
      </c>
      <c r="L107" s="1609">
        <v>16800</v>
      </c>
      <c r="M107" s="1609">
        <v>20160</v>
      </c>
      <c r="N107" s="1609">
        <v>24300</v>
      </c>
      <c r="O107" s="1609">
        <v>28440</v>
      </c>
      <c r="P107" s="1609">
        <v>32580</v>
      </c>
      <c r="Q107" s="1609">
        <v>36730</v>
      </c>
      <c r="R107" s="1609">
        <v>40890</v>
      </c>
      <c r="S107" s="1609">
        <v>39200</v>
      </c>
      <c r="T107" s="1609">
        <v>44800</v>
      </c>
      <c r="U107" s="1609">
        <v>50400</v>
      </c>
      <c r="V107" s="1609">
        <v>56000</v>
      </c>
      <c r="W107" s="1609">
        <v>60500</v>
      </c>
      <c r="X107" s="1609">
        <v>65000</v>
      </c>
      <c r="Y107" s="1609">
        <v>69450</v>
      </c>
      <c r="Z107" s="1609">
        <v>73950</v>
      </c>
    </row>
    <row r="108" spans="2:26">
      <c r="B108" s="1613" t="s">
        <v>503</v>
      </c>
      <c r="C108" s="1609">
        <v>21150</v>
      </c>
      <c r="D108" s="1609">
        <v>24150</v>
      </c>
      <c r="E108" s="1609">
        <v>27150</v>
      </c>
      <c r="F108" s="1609">
        <v>30150</v>
      </c>
      <c r="G108" s="1609">
        <v>32600</v>
      </c>
      <c r="H108" s="1609">
        <v>35000</v>
      </c>
      <c r="I108" s="1609">
        <v>37400</v>
      </c>
      <c r="J108" s="1609">
        <v>39800</v>
      </c>
      <c r="K108" s="1609">
        <v>12700</v>
      </c>
      <c r="L108" s="1609">
        <v>16020</v>
      </c>
      <c r="M108" s="1609">
        <v>20160</v>
      </c>
      <c r="N108" s="1609">
        <v>24300</v>
      </c>
      <c r="O108" s="1609">
        <v>28440</v>
      </c>
      <c r="P108" s="1609">
        <v>32580</v>
      </c>
      <c r="Q108" s="1609">
        <v>36730</v>
      </c>
      <c r="R108" s="1609">
        <v>39800</v>
      </c>
      <c r="S108" s="1609">
        <v>33800</v>
      </c>
      <c r="T108" s="1609">
        <v>38600</v>
      </c>
      <c r="U108" s="1609">
        <v>43450</v>
      </c>
      <c r="V108" s="1609">
        <v>48250</v>
      </c>
      <c r="W108" s="1609">
        <v>52150</v>
      </c>
      <c r="X108" s="1609">
        <v>56000</v>
      </c>
      <c r="Y108" s="1609">
        <v>59850</v>
      </c>
      <c r="Z108" s="1609">
        <v>63700</v>
      </c>
    </row>
    <row r="109" spans="2:26">
      <c r="B109" s="1613" t="s">
        <v>504</v>
      </c>
      <c r="C109" s="1609">
        <v>21150</v>
      </c>
      <c r="D109" s="1609">
        <v>24150</v>
      </c>
      <c r="E109" s="1609">
        <v>27150</v>
      </c>
      <c r="F109" s="1609">
        <v>30150</v>
      </c>
      <c r="G109" s="1609">
        <v>32600</v>
      </c>
      <c r="H109" s="1609">
        <v>35000</v>
      </c>
      <c r="I109" s="1609">
        <v>37400</v>
      </c>
      <c r="J109" s="1609">
        <v>39800</v>
      </c>
      <c r="K109" s="1609">
        <v>12700</v>
      </c>
      <c r="L109" s="1609">
        <v>16020</v>
      </c>
      <c r="M109" s="1609">
        <v>20160</v>
      </c>
      <c r="N109" s="1609">
        <v>24300</v>
      </c>
      <c r="O109" s="1609">
        <v>28440</v>
      </c>
      <c r="P109" s="1609">
        <v>32580</v>
      </c>
      <c r="Q109" s="1609">
        <v>36730</v>
      </c>
      <c r="R109" s="1609">
        <v>39800</v>
      </c>
      <c r="S109" s="1609">
        <v>33800</v>
      </c>
      <c r="T109" s="1609">
        <v>38600</v>
      </c>
      <c r="U109" s="1609">
        <v>43450</v>
      </c>
      <c r="V109" s="1609">
        <v>48250</v>
      </c>
      <c r="W109" s="1609">
        <v>52150</v>
      </c>
      <c r="X109" s="1609">
        <v>56000</v>
      </c>
      <c r="Y109" s="1609">
        <v>59850</v>
      </c>
      <c r="Z109" s="1609">
        <v>63700</v>
      </c>
    </row>
    <row r="110" spans="2:26">
      <c r="B110" s="1613" t="s">
        <v>505</v>
      </c>
      <c r="C110" s="1609">
        <v>21350</v>
      </c>
      <c r="D110" s="1609">
        <v>24400</v>
      </c>
      <c r="E110" s="1609">
        <v>27450</v>
      </c>
      <c r="F110" s="1609">
        <v>30450</v>
      </c>
      <c r="G110" s="1609">
        <v>32900</v>
      </c>
      <c r="H110" s="1609">
        <v>35350</v>
      </c>
      <c r="I110" s="1609">
        <v>37800</v>
      </c>
      <c r="J110" s="1609">
        <v>40200</v>
      </c>
      <c r="K110" s="1609">
        <v>12800</v>
      </c>
      <c r="L110" s="1609">
        <v>16020</v>
      </c>
      <c r="M110" s="1609">
        <v>20160</v>
      </c>
      <c r="N110" s="1609">
        <v>24300</v>
      </c>
      <c r="O110" s="1609">
        <v>28440</v>
      </c>
      <c r="P110" s="1609">
        <v>32580</v>
      </c>
      <c r="Q110" s="1609">
        <v>36730</v>
      </c>
      <c r="R110" s="1609">
        <v>40200</v>
      </c>
      <c r="S110" s="1609">
        <v>34100</v>
      </c>
      <c r="T110" s="1609">
        <v>39000</v>
      </c>
      <c r="U110" s="1609">
        <v>43850</v>
      </c>
      <c r="V110" s="1609">
        <v>48700</v>
      </c>
      <c r="W110" s="1609">
        <v>52600</v>
      </c>
      <c r="X110" s="1609">
        <v>56500</v>
      </c>
      <c r="Y110" s="1609">
        <v>60400</v>
      </c>
      <c r="Z110" s="1609">
        <v>64300</v>
      </c>
    </row>
    <row r="111" spans="2:26">
      <c r="B111" s="1613" t="s">
        <v>506</v>
      </c>
      <c r="C111" s="1609">
        <v>22200</v>
      </c>
      <c r="D111" s="1609">
        <v>25350</v>
      </c>
      <c r="E111" s="1609">
        <v>28500</v>
      </c>
      <c r="F111" s="1609">
        <v>31650</v>
      </c>
      <c r="G111" s="1609">
        <v>34200</v>
      </c>
      <c r="H111" s="1609">
        <v>36750</v>
      </c>
      <c r="I111" s="1609">
        <v>39250</v>
      </c>
      <c r="J111" s="1609">
        <v>41800</v>
      </c>
      <c r="K111" s="1609">
        <v>13300</v>
      </c>
      <c r="L111" s="1609">
        <v>16020</v>
      </c>
      <c r="M111" s="1609">
        <v>20160</v>
      </c>
      <c r="N111" s="1609">
        <v>24300</v>
      </c>
      <c r="O111" s="1609">
        <v>28440</v>
      </c>
      <c r="P111" s="1609">
        <v>32580</v>
      </c>
      <c r="Q111" s="1609">
        <v>36730</v>
      </c>
      <c r="R111" s="1609">
        <v>40890</v>
      </c>
      <c r="S111" s="1609">
        <v>35500</v>
      </c>
      <c r="T111" s="1609">
        <v>40550</v>
      </c>
      <c r="U111" s="1609">
        <v>45600</v>
      </c>
      <c r="V111" s="1609">
        <v>50650</v>
      </c>
      <c r="W111" s="1609">
        <v>54750</v>
      </c>
      <c r="X111" s="1609">
        <v>58800</v>
      </c>
      <c r="Y111" s="1609">
        <v>62850</v>
      </c>
      <c r="Z111" s="1609">
        <v>66900</v>
      </c>
    </row>
    <row r="112" spans="2:26">
      <c r="B112" s="1613" t="s">
        <v>507</v>
      </c>
      <c r="C112" s="1609">
        <v>21150</v>
      </c>
      <c r="D112" s="1609">
        <v>24150</v>
      </c>
      <c r="E112" s="1609">
        <v>27150</v>
      </c>
      <c r="F112" s="1609">
        <v>30150</v>
      </c>
      <c r="G112" s="1609">
        <v>32600</v>
      </c>
      <c r="H112" s="1609">
        <v>35000</v>
      </c>
      <c r="I112" s="1609">
        <v>37400</v>
      </c>
      <c r="J112" s="1609">
        <v>39800</v>
      </c>
      <c r="K112" s="1609">
        <v>12700</v>
      </c>
      <c r="L112" s="1609">
        <v>16020</v>
      </c>
      <c r="M112" s="1609">
        <v>20160</v>
      </c>
      <c r="N112" s="1609">
        <v>24300</v>
      </c>
      <c r="O112" s="1609">
        <v>28440</v>
      </c>
      <c r="P112" s="1609">
        <v>32580</v>
      </c>
      <c r="Q112" s="1609">
        <v>36730</v>
      </c>
      <c r="R112" s="1609">
        <v>39800</v>
      </c>
      <c r="S112" s="1609">
        <v>33800</v>
      </c>
      <c r="T112" s="1609">
        <v>38600</v>
      </c>
      <c r="U112" s="1609">
        <v>43450</v>
      </c>
      <c r="V112" s="1609">
        <v>48250</v>
      </c>
      <c r="W112" s="1609">
        <v>52150</v>
      </c>
      <c r="X112" s="1609">
        <v>56000</v>
      </c>
      <c r="Y112" s="1609">
        <v>59850</v>
      </c>
      <c r="Z112" s="1609">
        <v>63700</v>
      </c>
    </row>
    <row r="113" spans="2:26">
      <c r="B113" s="1613" t="s">
        <v>508</v>
      </c>
      <c r="C113" s="1609">
        <v>21150</v>
      </c>
      <c r="D113" s="1609">
        <v>24150</v>
      </c>
      <c r="E113" s="1609">
        <v>27150</v>
      </c>
      <c r="F113" s="1609">
        <v>30150</v>
      </c>
      <c r="G113" s="1609">
        <v>32600</v>
      </c>
      <c r="H113" s="1609">
        <v>35000</v>
      </c>
      <c r="I113" s="1609">
        <v>37400</v>
      </c>
      <c r="J113" s="1609">
        <v>39800</v>
      </c>
      <c r="K113" s="1609">
        <v>12700</v>
      </c>
      <c r="L113" s="1609">
        <v>16020</v>
      </c>
      <c r="M113" s="1609">
        <v>20160</v>
      </c>
      <c r="N113" s="1609">
        <v>24300</v>
      </c>
      <c r="O113" s="1609">
        <v>28440</v>
      </c>
      <c r="P113" s="1609">
        <v>32580</v>
      </c>
      <c r="Q113" s="1609">
        <v>36730</v>
      </c>
      <c r="R113" s="1609">
        <v>39800</v>
      </c>
      <c r="S113" s="1609">
        <v>33800</v>
      </c>
      <c r="T113" s="1609">
        <v>38600</v>
      </c>
      <c r="U113" s="1609">
        <v>43450</v>
      </c>
      <c r="V113" s="1609">
        <v>48250</v>
      </c>
      <c r="W113" s="1609">
        <v>52150</v>
      </c>
      <c r="X113" s="1609">
        <v>56000</v>
      </c>
      <c r="Y113" s="1609">
        <v>59850</v>
      </c>
      <c r="Z113" s="1609">
        <v>63700</v>
      </c>
    </row>
    <row r="114" spans="2:26">
      <c r="B114" s="1613" t="s">
        <v>509</v>
      </c>
      <c r="C114" s="1609">
        <v>21600</v>
      </c>
      <c r="D114" s="1609">
        <v>24650</v>
      </c>
      <c r="E114" s="1609">
        <v>27750</v>
      </c>
      <c r="F114" s="1609">
        <v>30800</v>
      </c>
      <c r="G114" s="1609">
        <v>33300</v>
      </c>
      <c r="H114" s="1609">
        <v>35750</v>
      </c>
      <c r="I114" s="1609">
        <v>38200</v>
      </c>
      <c r="J114" s="1609">
        <v>40700</v>
      </c>
      <c r="K114" s="1609">
        <v>12950</v>
      </c>
      <c r="L114" s="1609">
        <v>16020</v>
      </c>
      <c r="M114" s="1609">
        <v>20160</v>
      </c>
      <c r="N114" s="1609">
        <v>24300</v>
      </c>
      <c r="O114" s="1609">
        <v>28440</v>
      </c>
      <c r="P114" s="1609">
        <v>32580</v>
      </c>
      <c r="Q114" s="1609">
        <v>36730</v>
      </c>
      <c r="R114" s="1609">
        <v>40700</v>
      </c>
      <c r="S114" s="1609">
        <v>34550</v>
      </c>
      <c r="T114" s="1609">
        <v>39450</v>
      </c>
      <c r="U114" s="1609">
        <v>44400</v>
      </c>
      <c r="V114" s="1609">
        <v>49300</v>
      </c>
      <c r="W114" s="1609">
        <v>53250</v>
      </c>
      <c r="X114" s="1609">
        <v>57200</v>
      </c>
      <c r="Y114" s="1609">
        <v>61150</v>
      </c>
      <c r="Z114" s="1609">
        <v>65100</v>
      </c>
    </row>
    <row r="115" spans="2:26">
      <c r="B115" s="1613" t="s">
        <v>510</v>
      </c>
      <c r="C115" s="1609">
        <v>21250</v>
      </c>
      <c r="D115" s="1609">
        <v>24300</v>
      </c>
      <c r="E115" s="1609">
        <v>27350</v>
      </c>
      <c r="F115" s="1609">
        <v>30350</v>
      </c>
      <c r="G115" s="1609">
        <v>32800</v>
      </c>
      <c r="H115" s="1609">
        <v>35250</v>
      </c>
      <c r="I115" s="1609">
        <v>37650</v>
      </c>
      <c r="J115" s="1609">
        <v>40100</v>
      </c>
      <c r="K115" s="1609">
        <v>12750</v>
      </c>
      <c r="L115" s="1609">
        <v>16020</v>
      </c>
      <c r="M115" s="1609">
        <v>20160</v>
      </c>
      <c r="N115" s="1609">
        <v>24300</v>
      </c>
      <c r="O115" s="1609">
        <v>28440</v>
      </c>
      <c r="P115" s="1609">
        <v>32580</v>
      </c>
      <c r="Q115" s="1609">
        <v>36730</v>
      </c>
      <c r="R115" s="1609">
        <v>40100</v>
      </c>
      <c r="S115" s="1609">
        <v>34000</v>
      </c>
      <c r="T115" s="1609">
        <v>38850</v>
      </c>
      <c r="U115" s="1609">
        <v>43700</v>
      </c>
      <c r="V115" s="1609">
        <v>48550</v>
      </c>
      <c r="W115" s="1609">
        <v>52450</v>
      </c>
      <c r="X115" s="1609">
        <v>56350</v>
      </c>
      <c r="Y115" s="1609">
        <v>60250</v>
      </c>
      <c r="Z115" s="1609">
        <v>64100</v>
      </c>
    </row>
    <row r="116" spans="2:26">
      <c r="B116" s="1613" t="s">
        <v>511</v>
      </c>
      <c r="C116" s="1609">
        <v>21150</v>
      </c>
      <c r="D116" s="1609">
        <v>24150</v>
      </c>
      <c r="E116" s="1609">
        <v>27150</v>
      </c>
      <c r="F116" s="1609">
        <v>30150</v>
      </c>
      <c r="G116" s="1609">
        <v>32600</v>
      </c>
      <c r="H116" s="1609">
        <v>35000</v>
      </c>
      <c r="I116" s="1609">
        <v>37400</v>
      </c>
      <c r="J116" s="1609">
        <v>39800</v>
      </c>
      <c r="K116" s="1609">
        <v>12700</v>
      </c>
      <c r="L116" s="1609">
        <v>16020</v>
      </c>
      <c r="M116" s="1609">
        <v>20160</v>
      </c>
      <c r="N116" s="1609">
        <v>24300</v>
      </c>
      <c r="O116" s="1609">
        <v>28440</v>
      </c>
      <c r="P116" s="1609">
        <v>32580</v>
      </c>
      <c r="Q116" s="1609">
        <v>36730</v>
      </c>
      <c r="R116" s="1609">
        <v>39800</v>
      </c>
      <c r="S116" s="1609">
        <v>33800</v>
      </c>
      <c r="T116" s="1609">
        <v>38600</v>
      </c>
      <c r="U116" s="1609">
        <v>43450</v>
      </c>
      <c r="V116" s="1609">
        <v>48250</v>
      </c>
      <c r="W116" s="1609">
        <v>52150</v>
      </c>
      <c r="X116" s="1609">
        <v>56000</v>
      </c>
      <c r="Y116" s="1609">
        <v>59850</v>
      </c>
      <c r="Z116" s="1609">
        <v>63700</v>
      </c>
    </row>
    <row r="117" spans="2:26">
      <c r="B117" s="1613" t="s">
        <v>512</v>
      </c>
      <c r="C117" s="1609">
        <v>21150</v>
      </c>
      <c r="D117" s="1609">
        <v>24150</v>
      </c>
      <c r="E117" s="1609">
        <v>27150</v>
      </c>
      <c r="F117" s="1609">
        <v>30150</v>
      </c>
      <c r="G117" s="1609">
        <v>32600</v>
      </c>
      <c r="H117" s="1609">
        <v>35000</v>
      </c>
      <c r="I117" s="1609">
        <v>37400</v>
      </c>
      <c r="J117" s="1609">
        <v>39800</v>
      </c>
      <c r="K117" s="1609">
        <v>12700</v>
      </c>
      <c r="L117" s="1609">
        <v>16020</v>
      </c>
      <c r="M117" s="1609">
        <v>20160</v>
      </c>
      <c r="N117" s="1609">
        <v>24300</v>
      </c>
      <c r="O117" s="1609">
        <v>28440</v>
      </c>
      <c r="P117" s="1609">
        <v>32580</v>
      </c>
      <c r="Q117" s="1609">
        <v>36730</v>
      </c>
      <c r="R117" s="1609">
        <v>39800</v>
      </c>
      <c r="S117" s="1609">
        <v>33800</v>
      </c>
      <c r="T117" s="1609">
        <v>38600</v>
      </c>
      <c r="U117" s="1609">
        <v>43450</v>
      </c>
      <c r="V117" s="1609">
        <v>48250</v>
      </c>
      <c r="W117" s="1609">
        <v>52150</v>
      </c>
      <c r="X117" s="1609">
        <v>56000</v>
      </c>
      <c r="Y117" s="1609">
        <v>59850</v>
      </c>
      <c r="Z117" s="1609">
        <v>63700</v>
      </c>
    </row>
    <row r="118" spans="2:26">
      <c r="B118" s="1613" t="s">
        <v>513</v>
      </c>
      <c r="C118" s="1609">
        <v>21150</v>
      </c>
      <c r="D118" s="1609">
        <v>24150</v>
      </c>
      <c r="E118" s="1609">
        <v>27150</v>
      </c>
      <c r="F118" s="1609">
        <v>30150</v>
      </c>
      <c r="G118" s="1609">
        <v>32600</v>
      </c>
      <c r="H118" s="1609">
        <v>35000</v>
      </c>
      <c r="I118" s="1609">
        <v>37400</v>
      </c>
      <c r="J118" s="1609">
        <v>39800</v>
      </c>
      <c r="K118" s="1609">
        <v>12700</v>
      </c>
      <c r="L118" s="1609">
        <v>16020</v>
      </c>
      <c r="M118" s="1609">
        <v>20160</v>
      </c>
      <c r="N118" s="1609">
        <v>24300</v>
      </c>
      <c r="O118" s="1609">
        <v>28440</v>
      </c>
      <c r="P118" s="1609">
        <v>32580</v>
      </c>
      <c r="Q118" s="1609">
        <v>36730</v>
      </c>
      <c r="R118" s="1609">
        <v>39800</v>
      </c>
      <c r="S118" s="1609">
        <v>33800</v>
      </c>
      <c r="T118" s="1609">
        <v>38600</v>
      </c>
      <c r="U118" s="1609">
        <v>43450</v>
      </c>
      <c r="V118" s="1609">
        <v>48250</v>
      </c>
      <c r="W118" s="1609">
        <v>52150</v>
      </c>
      <c r="X118" s="1609">
        <v>56000</v>
      </c>
      <c r="Y118" s="1609">
        <v>59850</v>
      </c>
      <c r="Z118" s="1609">
        <v>63700</v>
      </c>
    </row>
    <row r="119" spans="2:26">
      <c r="B119" s="1613" t="s">
        <v>514</v>
      </c>
      <c r="C119" s="1609">
        <v>21150</v>
      </c>
      <c r="D119" s="1609">
        <v>24150</v>
      </c>
      <c r="E119" s="1609">
        <v>27150</v>
      </c>
      <c r="F119" s="1609">
        <v>30150</v>
      </c>
      <c r="G119" s="1609">
        <v>32600</v>
      </c>
      <c r="H119" s="1609">
        <v>35000</v>
      </c>
      <c r="I119" s="1609">
        <v>37400</v>
      </c>
      <c r="J119" s="1609">
        <v>39800</v>
      </c>
      <c r="K119" s="1609">
        <v>12700</v>
      </c>
      <c r="L119" s="1609">
        <v>16020</v>
      </c>
      <c r="M119" s="1609">
        <v>20160</v>
      </c>
      <c r="N119" s="1609">
        <v>24300</v>
      </c>
      <c r="O119" s="1609">
        <v>28440</v>
      </c>
      <c r="P119" s="1609">
        <v>32580</v>
      </c>
      <c r="Q119" s="1609">
        <v>36730</v>
      </c>
      <c r="R119" s="1609">
        <v>39800</v>
      </c>
      <c r="S119" s="1609">
        <v>33800</v>
      </c>
      <c r="T119" s="1609">
        <v>38600</v>
      </c>
      <c r="U119" s="1609">
        <v>43450</v>
      </c>
      <c r="V119" s="1609">
        <v>48250</v>
      </c>
      <c r="W119" s="1609">
        <v>52150</v>
      </c>
      <c r="X119" s="1609">
        <v>56000</v>
      </c>
      <c r="Y119" s="1609">
        <v>59850</v>
      </c>
      <c r="Z119" s="1609">
        <v>63700</v>
      </c>
    </row>
    <row r="120" spans="2:26">
      <c r="B120" s="1613" t="s">
        <v>515</v>
      </c>
      <c r="C120" s="1609">
        <v>21150</v>
      </c>
      <c r="D120" s="1609">
        <v>24150</v>
      </c>
      <c r="E120" s="1609">
        <v>27150</v>
      </c>
      <c r="F120" s="1609">
        <v>30150</v>
      </c>
      <c r="G120" s="1609">
        <v>32600</v>
      </c>
      <c r="H120" s="1609">
        <v>35000</v>
      </c>
      <c r="I120" s="1609">
        <v>37400</v>
      </c>
      <c r="J120" s="1609">
        <v>39800</v>
      </c>
      <c r="K120" s="1609">
        <v>12700</v>
      </c>
      <c r="L120" s="1609">
        <v>16020</v>
      </c>
      <c r="M120" s="1609">
        <v>20160</v>
      </c>
      <c r="N120" s="1609">
        <v>24300</v>
      </c>
      <c r="O120" s="1609">
        <v>28440</v>
      </c>
      <c r="P120" s="1609">
        <v>32580</v>
      </c>
      <c r="Q120" s="1609">
        <v>36730</v>
      </c>
      <c r="R120" s="1609">
        <v>39800</v>
      </c>
      <c r="S120" s="1609">
        <v>33800</v>
      </c>
      <c r="T120" s="1609">
        <v>38600</v>
      </c>
      <c r="U120" s="1609">
        <v>43450</v>
      </c>
      <c r="V120" s="1609">
        <v>48250</v>
      </c>
      <c r="W120" s="1609">
        <v>52150</v>
      </c>
      <c r="X120" s="1609">
        <v>56000</v>
      </c>
      <c r="Y120" s="1609">
        <v>59850</v>
      </c>
      <c r="Z120" s="1609">
        <v>63700</v>
      </c>
    </row>
    <row r="121" spans="2:26">
      <c r="B121" s="1613" t="s">
        <v>516</v>
      </c>
      <c r="C121" s="1609">
        <v>21150</v>
      </c>
      <c r="D121" s="1609">
        <v>24150</v>
      </c>
      <c r="E121" s="1609">
        <v>27150</v>
      </c>
      <c r="F121" s="1609">
        <v>30150</v>
      </c>
      <c r="G121" s="1609">
        <v>32600</v>
      </c>
      <c r="H121" s="1609">
        <v>35000</v>
      </c>
      <c r="I121" s="1609">
        <v>37400</v>
      </c>
      <c r="J121" s="1609">
        <v>39800</v>
      </c>
      <c r="K121" s="1609">
        <v>12700</v>
      </c>
      <c r="L121" s="1609">
        <v>16020</v>
      </c>
      <c r="M121" s="1609">
        <v>20160</v>
      </c>
      <c r="N121" s="1609">
        <v>24300</v>
      </c>
      <c r="O121" s="1609">
        <v>28440</v>
      </c>
      <c r="P121" s="1609">
        <v>32580</v>
      </c>
      <c r="Q121" s="1609">
        <v>36730</v>
      </c>
      <c r="R121" s="1609">
        <v>39800</v>
      </c>
      <c r="S121" s="1609">
        <v>33800</v>
      </c>
      <c r="T121" s="1609">
        <v>38600</v>
      </c>
      <c r="U121" s="1609">
        <v>43450</v>
      </c>
      <c r="V121" s="1609">
        <v>48250</v>
      </c>
      <c r="W121" s="1609">
        <v>52150</v>
      </c>
      <c r="X121" s="1609">
        <v>56000</v>
      </c>
      <c r="Y121" s="1609">
        <v>59850</v>
      </c>
      <c r="Z121" s="1609">
        <v>63700</v>
      </c>
    </row>
    <row r="122" spans="2:26">
      <c r="B122" s="1613" t="s">
        <v>517</v>
      </c>
      <c r="C122" s="1609">
        <v>21150</v>
      </c>
      <c r="D122" s="1609">
        <v>24150</v>
      </c>
      <c r="E122" s="1609">
        <v>27150</v>
      </c>
      <c r="F122" s="1609">
        <v>30150</v>
      </c>
      <c r="G122" s="1609">
        <v>32600</v>
      </c>
      <c r="H122" s="1609">
        <v>35000</v>
      </c>
      <c r="I122" s="1609">
        <v>37400</v>
      </c>
      <c r="J122" s="1609">
        <v>39800</v>
      </c>
      <c r="K122" s="1609">
        <v>12700</v>
      </c>
      <c r="L122" s="1609">
        <v>16020</v>
      </c>
      <c r="M122" s="1609">
        <v>20160</v>
      </c>
      <c r="N122" s="1609">
        <v>24300</v>
      </c>
      <c r="O122" s="1609">
        <v>28440</v>
      </c>
      <c r="P122" s="1609">
        <v>32580</v>
      </c>
      <c r="Q122" s="1609">
        <v>36730</v>
      </c>
      <c r="R122" s="1609">
        <v>39800</v>
      </c>
      <c r="S122" s="1609">
        <v>33800</v>
      </c>
      <c r="T122" s="1609">
        <v>38600</v>
      </c>
      <c r="U122" s="1609">
        <v>43450</v>
      </c>
      <c r="V122" s="1609">
        <v>48250</v>
      </c>
      <c r="W122" s="1609">
        <v>52150</v>
      </c>
      <c r="X122" s="1609">
        <v>56000</v>
      </c>
      <c r="Y122" s="1609">
        <v>59850</v>
      </c>
      <c r="Z122" s="1609">
        <v>63700</v>
      </c>
    </row>
    <row r="123" spans="2:26">
      <c r="B123" s="1613" t="s">
        <v>518</v>
      </c>
      <c r="C123" s="1609">
        <v>21150</v>
      </c>
      <c r="D123" s="1609">
        <v>24150</v>
      </c>
      <c r="E123" s="1609">
        <v>27150</v>
      </c>
      <c r="F123" s="1609">
        <v>30150</v>
      </c>
      <c r="G123" s="1609">
        <v>32600</v>
      </c>
      <c r="H123" s="1609">
        <v>35000</v>
      </c>
      <c r="I123" s="1609">
        <v>37400</v>
      </c>
      <c r="J123" s="1609">
        <v>39800</v>
      </c>
      <c r="K123" s="1609">
        <v>12700</v>
      </c>
      <c r="L123" s="1609">
        <v>16020</v>
      </c>
      <c r="M123" s="1609">
        <v>20160</v>
      </c>
      <c r="N123" s="1609">
        <v>24300</v>
      </c>
      <c r="O123" s="1609">
        <v>28440</v>
      </c>
      <c r="P123" s="1609">
        <v>32580</v>
      </c>
      <c r="Q123" s="1609">
        <v>36730</v>
      </c>
      <c r="R123" s="1609">
        <v>39800</v>
      </c>
      <c r="S123" s="1609">
        <v>33800</v>
      </c>
      <c r="T123" s="1609">
        <v>38600</v>
      </c>
      <c r="U123" s="1609">
        <v>43450</v>
      </c>
      <c r="V123" s="1609">
        <v>48250</v>
      </c>
      <c r="W123" s="1609">
        <v>52150</v>
      </c>
      <c r="X123" s="1609">
        <v>56000</v>
      </c>
      <c r="Y123" s="1609">
        <v>59850</v>
      </c>
      <c r="Z123" s="1609">
        <v>63700</v>
      </c>
    </row>
    <row r="124" spans="2:26">
      <c r="B124" s="1613" t="s">
        <v>519</v>
      </c>
      <c r="C124" s="1609">
        <v>24350</v>
      </c>
      <c r="D124" s="1609">
        <v>27800</v>
      </c>
      <c r="E124" s="1609">
        <v>31300</v>
      </c>
      <c r="F124" s="1609">
        <v>34750</v>
      </c>
      <c r="G124" s="1609">
        <v>37550</v>
      </c>
      <c r="H124" s="1609">
        <v>40350</v>
      </c>
      <c r="I124" s="1609">
        <v>43100</v>
      </c>
      <c r="J124" s="1609">
        <v>45900</v>
      </c>
      <c r="K124" s="1609">
        <v>14600</v>
      </c>
      <c r="L124" s="1609">
        <v>16700</v>
      </c>
      <c r="M124" s="1609">
        <v>20160</v>
      </c>
      <c r="N124" s="1609">
        <v>24300</v>
      </c>
      <c r="O124" s="1609">
        <v>28440</v>
      </c>
      <c r="P124" s="1609">
        <v>32580</v>
      </c>
      <c r="Q124" s="1609">
        <v>36730</v>
      </c>
      <c r="R124" s="1609">
        <v>40890</v>
      </c>
      <c r="S124" s="1609">
        <v>38900</v>
      </c>
      <c r="T124" s="1609">
        <v>44450</v>
      </c>
      <c r="U124" s="1609">
        <v>50000</v>
      </c>
      <c r="V124" s="1609">
        <v>55550</v>
      </c>
      <c r="W124" s="1609">
        <v>60000</v>
      </c>
      <c r="X124" s="1609">
        <v>64450</v>
      </c>
      <c r="Y124" s="1609">
        <v>68900</v>
      </c>
      <c r="Z124" s="1609">
        <v>73350</v>
      </c>
    </row>
    <row r="125" spans="2:26">
      <c r="B125" s="1613" t="s">
        <v>520</v>
      </c>
      <c r="C125" s="1609">
        <v>21150</v>
      </c>
      <c r="D125" s="1609">
        <v>24150</v>
      </c>
      <c r="E125" s="1609">
        <v>27150</v>
      </c>
      <c r="F125" s="1609">
        <v>30150</v>
      </c>
      <c r="G125" s="1609">
        <v>32600</v>
      </c>
      <c r="H125" s="1609">
        <v>35000</v>
      </c>
      <c r="I125" s="1609">
        <v>37400</v>
      </c>
      <c r="J125" s="1609">
        <v>39800</v>
      </c>
      <c r="K125" s="1609">
        <v>12700</v>
      </c>
      <c r="L125" s="1609">
        <v>16020</v>
      </c>
      <c r="M125" s="1609">
        <v>20160</v>
      </c>
      <c r="N125" s="1609">
        <v>24300</v>
      </c>
      <c r="O125" s="1609">
        <v>28440</v>
      </c>
      <c r="P125" s="1609">
        <v>32580</v>
      </c>
      <c r="Q125" s="1609">
        <v>36730</v>
      </c>
      <c r="R125" s="1609">
        <v>39800</v>
      </c>
      <c r="S125" s="1609">
        <v>33800</v>
      </c>
      <c r="T125" s="1609">
        <v>38600</v>
      </c>
      <c r="U125" s="1609">
        <v>43450</v>
      </c>
      <c r="V125" s="1609">
        <v>48250</v>
      </c>
      <c r="W125" s="1609">
        <v>52150</v>
      </c>
      <c r="X125" s="1609">
        <v>56000</v>
      </c>
      <c r="Y125" s="1609">
        <v>59850</v>
      </c>
      <c r="Z125" s="1609">
        <v>63700</v>
      </c>
    </row>
    <row r="126" spans="2:26">
      <c r="B126" s="1613" t="s">
        <v>521</v>
      </c>
      <c r="C126" s="1609">
        <v>21650</v>
      </c>
      <c r="D126" s="1609">
        <v>24750</v>
      </c>
      <c r="E126" s="1609">
        <v>27850</v>
      </c>
      <c r="F126" s="1609">
        <v>30900</v>
      </c>
      <c r="G126" s="1609">
        <v>33400</v>
      </c>
      <c r="H126" s="1609">
        <v>35850</v>
      </c>
      <c r="I126" s="1609">
        <v>38350</v>
      </c>
      <c r="J126" s="1609">
        <v>40800</v>
      </c>
      <c r="K126" s="1609">
        <v>13000</v>
      </c>
      <c r="L126" s="1609">
        <v>16020</v>
      </c>
      <c r="M126" s="1609">
        <v>20160</v>
      </c>
      <c r="N126" s="1609">
        <v>24300</v>
      </c>
      <c r="O126" s="1609">
        <v>28440</v>
      </c>
      <c r="P126" s="1609">
        <v>32580</v>
      </c>
      <c r="Q126" s="1609">
        <v>36730</v>
      </c>
      <c r="R126" s="1609">
        <v>40800</v>
      </c>
      <c r="S126" s="1609">
        <v>34650</v>
      </c>
      <c r="T126" s="1609">
        <v>39600</v>
      </c>
      <c r="U126" s="1609">
        <v>44550</v>
      </c>
      <c r="V126" s="1609">
        <v>49450</v>
      </c>
      <c r="W126" s="1609">
        <v>53450</v>
      </c>
      <c r="X126" s="1609">
        <v>57400</v>
      </c>
      <c r="Y126" s="1609">
        <v>61350</v>
      </c>
      <c r="Z126" s="1609">
        <v>65300</v>
      </c>
    </row>
    <row r="127" spans="2:26">
      <c r="B127" s="1613" t="s">
        <v>522</v>
      </c>
      <c r="C127" s="1609">
        <v>21150</v>
      </c>
      <c r="D127" s="1609">
        <v>24150</v>
      </c>
      <c r="E127" s="1609">
        <v>27150</v>
      </c>
      <c r="F127" s="1609">
        <v>30150</v>
      </c>
      <c r="G127" s="1609">
        <v>32600</v>
      </c>
      <c r="H127" s="1609">
        <v>35000</v>
      </c>
      <c r="I127" s="1609">
        <v>37400</v>
      </c>
      <c r="J127" s="1609">
        <v>39800</v>
      </c>
      <c r="K127" s="1609">
        <v>12700</v>
      </c>
      <c r="L127" s="1609">
        <v>16020</v>
      </c>
      <c r="M127" s="1609">
        <v>20160</v>
      </c>
      <c r="N127" s="1609">
        <v>24300</v>
      </c>
      <c r="O127" s="1609">
        <v>28440</v>
      </c>
      <c r="P127" s="1609">
        <v>32580</v>
      </c>
      <c r="Q127" s="1609">
        <v>36730</v>
      </c>
      <c r="R127" s="1609">
        <v>39800</v>
      </c>
      <c r="S127" s="1609">
        <v>33800</v>
      </c>
      <c r="T127" s="1609">
        <v>38600</v>
      </c>
      <c r="U127" s="1609">
        <v>43450</v>
      </c>
      <c r="V127" s="1609">
        <v>48250</v>
      </c>
      <c r="W127" s="1609">
        <v>52150</v>
      </c>
      <c r="X127" s="1609">
        <v>56000</v>
      </c>
      <c r="Y127" s="1609">
        <v>59850</v>
      </c>
      <c r="Z127" s="1609">
        <v>63700</v>
      </c>
    </row>
    <row r="128" spans="2:26">
      <c r="B128" s="1613" t="s">
        <v>523</v>
      </c>
      <c r="C128" s="1609">
        <v>23900</v>
      </c>
      <c r="D128" s="1609">
        <v>27300</v>
      </c>
      <c r="E128" s="1609">
        <v>30700</v>
      </c>
      <c r="F128" s="1609">
        <v>34100</v>
      </c>
      <c r="G128" s="1609">
        <v>36850</v>
      </c>
      <c r="H128" s="1609">
        <v>39600</v>
      </c>
      <c r="I128" s="1609">
        <v>42300</v>
      </c>
      <c r="J128" s="1609">
        <v>45050</v>
      </c>
      <c r="K128" s="1609">
        <v>14350</v>
      </c>
      <c r="L128" s="1609">
        <v>16400</v>
      </c>
      <c r="M128" s="1609">
        <v>20160</v>
      </c>
      <c r="N128" s="1609">
        <v>24300</v>
      </c>
      <c r="O128" s="1609">
        <v>28440</v>
      </c>
      <c r="P128" s="1609">
        <v>32580</v>
      </c>
      <c r="Q128" s="1609">
        <v>36730</v>
      </c>
      <c r="R128" s="1609">
        <v>40890</v>
      </c>
      <c r="S128" s="1609">
        <v>38200</v>
      </c>
      <c r="T128" s="1609">
        <v>43650</v>
      </c>
      <c r="U128" s="1609">
        <v>49100</v>
      </c>
      <c r="V128" s="1609">
        <v>54550</v>
      </c>
      <c r="W128" s="1609">
        <v>58950</v>
      </c>
      <c r="X128" s="1609">
        <v>63300</v>
      </c>
      <c r="Y128" s="1609">
        <v>67650</v>
      </c>
      <c r="Z128" s="1609">
        <v>72050</v>
      </c>
    </row>
    <row r="129" spans="2:26">
      <c r="B129" s="1613" t="s">
        <v>524</v>
      </c>
      <c r="C129" s="1609">
        <v>21150</v>
      </c>
      <c r="D129" s="1609">
        <v>24150</v>
      </c>
      <c r="E129" s="1609">
        <v>27150</v>
      </c>
      <c r="F129" s="1609">
        <v>30150</v>
      </c>
      <c r="G129" s="1609">
        <v>32600</v>
      </c>
      <c r="H129" s="1609">
        <v>35000</v>
      </c>
      <c r="I129" s="1609">
        <v>37400</v>
      </c>
      <c r="J129" s="1609">
        <v>39800</v>
      </c>
      <c r="K129" s="1609">
        <v>12700</v>
      </c>
      <c r="L129" s="1609">
        <v>16020</v>
      </c>
      <c r="M129" s="1609">
        <v>20160</v>
      </c>
      <c r="N129" s="1609">
        <v>24300</v>
      </c>
      <c r="O129" s="1609">
        <v>28440</v>
      </c>
      <c r="P129" s="1609">
        <v>32580</v>
      </c>
      <c r="Q129" s="1609">
        <v>36730</v>
      </c>
      <c r="R129" s="1609">
        <v>39800</v>
      </c>
      <c r="S129" s="1609">
        <v>33800</v>
      </c>
      <c r="T129" s="1609">
        <v>38600</v>
      </c>
      <c r="U129" s="1609">
        <v>43450</v>
      </c>
      <c r="V129" s="1609">
        <v>48250</v>
      </c>
      <c r="W129" s="1609">
        <v>52150</v>
      </c>
      <c r="X129" s="1609">
        <v>56000</v>
      </c>
      <c r="Y129" s="1609">
        <v>59850</v>
      </c>
      <c r="Z129" s="1609">
        <v>63700</v>
      </c>
    </row>
    <row r="130" spans="2:26">
      <c r="B130" s="1613" t="s">
        <v>525</v>
      </c>
      <c r="C130" s="1609">
        <v>24950</v>
      </c>
      <c r="D130" s="1609">
        <v>28500</v>
      </c>
      <c r="E130" s="1609">
        <v>32050</v>
      </c>
      <c r="F130" s="1609">
        <v>35600</v>
      </c>
      <c r="G130" s="1609">
        <v>38450</v>
      </c>
      <c r="H130" s="1609">
        <v>41300</v>
      </c>
      <c r="I130" s="1609">
        <v>44150</v>
      </c>
      <c r="J130" s="1609">
        <v>47000</v>
      </c>
      <c r="K130" s="1609">
        <v>14950</v>
      </c>
      <c r="L130" s="1609">
        <v>17100</v>
      </c>
      <c r="M130" s="1609">
        <v>20160</v>
      </c>
      <c r="N130" s="1609">
        <v>24300</v>
      </c>
      <c r="O130" s="1609">
        <v>28440</v>
      </c>
      <c r="P130" s="1609">
        <v>32580</v>
      </c>
      <c r="Q130" s="1609">
        <v>36730</v>
      </c>
      <c r="R130" s="1609">
        <v>40890</v>
      </c>
      <c r="S130" s="1609">
        <v>39900</v>
      </c>
      <c r="T130" s="1609">
        <v>45600</v>
      </c>
      <c r="U130" s="1609">
        <v>51300</v>
      </c>
      <c r="V130" s="1609">
        <v>56950</v>
      </c>
      <c r="W130" s="1609">
        <v>61550</v>
      </c>
      <c r="X130" s="1609">
        <v>66100</v>
      </c>
      <c r="Y130" s="1609">
        <v>70650</v>
      </c>
      <c r="Z130" s="1609">
        <v>75200</v>
      </c>
    </row>
    <row r="131" spans="2:26">
      <c r="B131" s="1613" t="s">
        <v>526</v>
      </c>
      <c r="C131" s="1609">
        <v>21150</v>
      </c>
      <c r="D131" s="1609">
        <v>24150</v>
      </c>
      <c r="E131" s="1609">
        <v>27150</v>
      </c>
      <c r="F131" s="1609">
        <v>30150</v>
      </c>
      <c r="G131" s="1609">
        <v>32600</v>
      </c>
      <c r="H131" s="1609">
        <v>35000</v>
      </c>
      <c r="I131" s="1609">
        <v>37400</v>
      </c>
      <c r="J131" s="1609">
        <v>39800</v>
      </c>
      <c r="K131" s="1609">
        <v>12700</v>
      </c>
      <c r="L131" s="1609">
        <v>16020</v>
      </c>
      <c r="M131" s="1609">
        <v>20160</v>
      </c>
      <c r="N131" s="1609">
        <v>24300</v>
      </c>
      <c r="O131" s="1609">
        <v>28440</v>
      </c>
      <c r="P131" s="1609">
        <v>32580</v>
      </c>
      <c r="Q131" s="1609">
        <v>36730</v>
      </c>
      <c r="R131" s="1609">
        <v>39800</v>
      </c>
      <c r="S131" s="1609">
        <v>33800</v>
      </c>
      <c r="T131" s="1609">
        <v>38600</v>
      </c>
      <c r="U131" s="1609">
        <v>43450</v>
      </c>
      <c r="V131" s="1609">
        <v>48250</v>
      </c>
      <c r="W131" s="1609">
        <v>52150</v>
      </c>
      <c r="X131" s="1609">
        <v>56000</v>
      </c>
      <c r="Y131" s="1609">
        <v>59850</v>
      </c>
      <c r="Z131" s="1609">
        <v>63700</v>
      </c>
    </row>
    <row r="132" spans="2:26">
      <c r="B132" s="1613" t="s">
        <v>527</v>
      </c>
      <c r="C132" s="1609">
        <v>21150</v>
      </c>
      <c r="D132" s="1609">
        <v>24150</v>
      </c>
      <c r="E132" s="1609">
        <v>27150</v>
      </c>
      <c r="F132" s="1609">
        <v>30150</v>
      </c>
      <c r="G132" s="1609">
        <v>32600</v>
      </c>
      <c r="H132" s="1609">
        <v>35000</v>
      </c>
      <c r="I132" s="1609">
        <v>37400</v>
      </c>
      <c r="J132" s="1609">
        <v>39800</v>
      </c>
      <c r="K132" s="1609">
        <v>12700</v>
      </c>
      <c r="L132" s="1609">
        <v>16020</v>
      </c>
      <c r="M132" s="1609">
        <v>20160</v>
      </c>
      <c r="N132" s="1609">
        <v>24300</v>
      </c>
      <c r="O132" s="1609">
        <v>28440</v>
      </c>
      <c r="P132" s="1609">
        <v>32580</v>
      </c>
      <c r="Q132" s="1609">
        <v>36730</v>
      </c>
      <c r="R132" s="1609">
        <v>39800</v>
      </c>
      <c r="S132" s="1609">
        <v>33800</v>
      </c>
      <c r="T132" s="1609">
        <v>38600</v>
      </c>
      <c r="U132" s="1609">
        <v>43450</v>
      </c>
      <c r="V132" s="1609">
        <v>48250</v>
      </c>
      <c r="W132" s="1609">
        <v>52150</v>
      </c>
      <c r="X132" s="1609">
        <v>56000</v>
      </c>
      <c r="Y132" s="1609">
        <v>59850</v>
      </c>
      <c r="Z132" s="1609">
        <v>63700</v>
      </c>
    </row>
    <row r="133" spans="2:26">
      <c r="B133" s="1613" t="s">
        <v>528</v>
      </c>
      <c r="C133" s="1609">
        <v>21150</v>
      </c>
      <c r="D133" s="1609">
        <v>24150</v>
      </c>
      <c r="E133" s="1609">
        <v>27150</v>
      </c>
      <c r="F133" s="1609">
        <v>30150</v>
      </c>
      <c r="G133" s="1609">
        <v>32600</v>
      </c>
      <c r="H133" s="1609">
        <v>35000</v>
      </c>
      <c r="I133" s="1609">
        <v>37400</v>
      </c>
      <c r="J133" s="1609">
        <v>39800</v>
      </c>
      <c r="K133" s="1609">
        <v>12700</v>
      </c>
      <c r="L133" s="1609">
        <v>16020</v>
      </c>
      <c r="M133" s="1609">
        <v>20160</v>
      </c>
      <c r="N133" s="1609">
        <v>24300</v>
      </c>
      <c r="O133" s="1609">
        <v>28440</v>
      </c>
      <c r="P133" s="1609">
        <v>32580</v>
      </c>
      <c r="Q133" s="1609">
        <v>36730</v>
      </c>
      <c r="R133" s="1609">
        <v>39800</v>
      </c>
      <c r="S133" s="1609">
        <v>33800</v>
      </c>
      <c r="T133" s="1609">
        <v>38600</v>
      </c>
      <c r="U133" s="1609">
        <v>43450</v>
      </c>
      <c r="V133" s="1609">
        <v>48250</v>
      </c>
      <c r="W133" s="1609">
        <v>52150</v>
      </c>
      <c r="X133" s="1609">
        <v>56000</v>
      </c>
      <c r="Y133" s="1609">
        <v>59850</v>
      </c>
      <c r="Z133" s="1609">
        <v>63700</v>
      </c>
    </row>
    <row r="134" spans="2:26">
      <c r="B134" s="1613" t="s">
        <v>529</v>
      </c>
      <c r="C134" s="1609">
        <v>21150</v>
      </c>
      <c r="D134" s="1609">
        <v>24150</v>
      </c>
      <c r="E134" s="1609">
        <v>27150</v>
      </c>
      <c r="F134" s="1609">
        <v>30150</v>
      </c>
      <c r="G134" s="1609">
        <v>32600</v>
      </c>
      <c r="H134" s="1609">
        <v>35000</v>
      </c>
      <c r="I134" s="1609">
        <v>37400</v>
      </c>
      <c r="J134" s="1609">
        <v>39800</v>
      </c>
      <c r="K134" s="1609">
        <v>12700</v>
      </c>
      <c r="L134" s="1609">
        <v>16020</v>
      </c>
      <c r="M134" s="1609">
        <v>20160</v>
      </c>
      <c r="N134" s="1609">
        <v>24300</v>
      </c>
      <c r="O134" s="1609">
        <v>28440</v>
      </c>
      <c r="P134" s="1609">
        <v>32580</v>
      </c>
      <c r="Q134" s="1609">
        <v>36730</v>
      </c>
      <c r="R134" s="1609">
        <v>39800</v>
      </c>
      <c r="S134" s="1609">
        <v>33800</v>
      </c>
      <c r="T134" s="1609">
        <v>38600</v>
      </c>
      <c r="U134" s="1609">
        <v>43450</v>
      </c>
      <c r="V134" s="1609">
        <v>48250</v>
      </c>
      <c r="W134" s="1609">
        <v>52150</v>
      </c>
      <c r="X134" s="1609">
        <v>56000</v>
      </c>
      <c r="Y134" s="1609">
        <v>59850</v>
      </c>
      <c r="Z134" s="1609">
        <v>63700</v>
      </c>
    </row>
    <row r="135" spans="2:26">
      <c r="B135" s="1613" t="s">
        <v>530</v>
      </c>
      <c r="C135" s="1609">
        <v>21150</v>
      </c>
      <c r="D135" s="1609">
        <v>24150</v>
      </c>
      <c r="E135" s="1609">
        <v>27150</v>
      </c>
      <c r="F135" s="1609">
        <v>30150</v>
      </c>
      <c r="G135" s="1609">
        <v>32600</v>
      </c>
      <c r="H135" s="1609">
        <v>35000</v>
      </c>
      <c r="I135" s="1609">
        <v>37400</v>
      </c>
      <c r="J135" s="1609">
        <v>39800</v>
      </c>
      <c r="K135" s="1609">
        <v>12700</v>
      </c>
      <c r="L135" s="1609">
        <v>16020</v>
      </c>
      <c r="M135" s="1609">
        <v>20160</v>
      </c>
      <c r="N135" s="1609">
        <v>24300</v>
      </c>
      <c r="O135" s="1609">
        <v>28440</v>
      </c>
      <c r="P135" s="1609">
        <v>32580</v>
      </c>
      <c r="Q135" s="1609">
        <v>36730</v>
      </c>
      <c r="R135" s="1609">
        <v>39800</v>
      </c>
      <c r="S135" s="1609">
        <v>33800</v>
      </c>
      <c r="T135" s="1609">
        <v>38600</v>
      </c>
      <c r="U135" s="1609">
        <v>43450</v>
      </c>
      <c r="V135" s="1609">
        <v>48250</v>
      </c>
      <c r="W135" s="1609">
        <v>52150</v>
      </c>
      <c r="X135" s="1609">
        <v>56000</v>
      </c>
      <c r="Y135" s="1609">
        <v>59850</v>
      </c>
      <c r="Z135" s="1609">
        <v>63700</v>
      </c>
    </row>
    <row r="136" spans="2:26">
      <c r="B136" s="1613" t="s">
        <v>531</v>
      </c>
      <c r="C136" s="1609">
        <v>21150</v>
      </c>
      <c r="D136" s="1609">
        <v>24150</v>
      </c>
      <c r="E136" s="1609">
        <v>27150</v>
      </c>
      <c r="F136" s="1609">
        <v>30150</v>
      </c>
      <c r="G136" s="1609">
        <v>32600</v>
      </c>
      <c r="H136" s="1609">
        <v>35000</v>
      </c>
      <c r="I136" s="1609">
        <v>37400</v>
      </c>
      <c r="J136" s="1609">
        <v>39800</v>
      </c>
      <c r="K136" s="1609">
        <v>12700</v>
      </c>
      <c r="L136" s="1609">
        <v>16020</v>
      </c>
      <c r="M136" s="1609">
        <v>20160</v>
      </c>
      <c r="N136" s="1609">
        <v>24300</v>
      </c>
      <c r="O136" s="1609">
        <v>28440</v>
      </c>
      <c r="P136" s="1609">
        <v>32580</v>
      </c>
      <c r="Q136" s="1609">
        <v>36730</v>
      </c>
      <c r="R136" s="1609">
        <v>39800</v>
      </c>
      <c r="S136" s="1609">
        <v>33800</v>
      </c>
      <c r="T136" s="1609">
        <v>38600</v>
      </c>
      <c r="U136" s="1609">
        <v>43450</v>
      </c>
      <c r="V136" s="1609">
        <v>48250</v>
      </c>
      <c r="W136" s="1609">
        <v>52150</v>
      </c>
      <c r="X136" s="1609">
        <v>56000</v>
      </c>
      <c r="Y136" s="1609">
        <v>59850</v>
      </c>
      <c r="Z136" s="1609">
        <v>63700</v>
      </c>
    </row>
    <row r="137" spans="2:26">
      <c r="B137" s="1613" t="s">
        <v>532</v>
      </c>
      <c r="C137" s="1609">
        <v>22600</v>
      </c>
      <c r="D137" s="1609">
        <v>25800</v>
      </c>
      <c r="E137" s="1609">
        <v>29050</v>
      </c>
      <c r="F137" s="1609">
        <v>32250</v>
      </c>
      <c r="G137" s="1609">
        <v>34850</v>
      </c>
      <c r="H137" s="1609">
        <v>37450</v>
      </c>
      <c r="I137" s="1609">
        <v>40000</v>
      </c>
      <c r="J137" s="1609">
        <v>42600</v>
      </c>
      <c r="K137" s="1609">
        <v>13550</v>
      </c>
      <c r="L137" s="1609">
        <v>16020</v>
      </c>
      <c r="M137" s="1609">
        <v>20160</v>
      </c>
      <c r="N137" s="1609">
        <v>24300</v>
      </c>
      <c r="O137" s="1609">
        <v>28440</v>
      </c>
      <c r="P137" s="1609">
        <v>32580</v>
      </c>
      <c r="Q137" s="1609">
        <v>36730</v>
      </c>
      <c r="R137" s="1609">
        <v>40890</v>
      </c>
      <c r="S137" s="1609">
        <v>36150</v>
      </c>
      <c r="T137" s="1609">
        <v>41300</v>
      </c>
      <c r="U137" s="1609">
        <v>46450</v>
      </c>
      <c r="V137" s="1609">
        <v>51600</v>
      </c>
      <c r="W137" s="1609">
        <v>55750</v>
      </c>
      <c r="X137" s="1609">
        <v>59900</v>
      </c>
      <c r="Y137" s="1609">
        <v>64000</v>
      </c>
      <c r="Z137" s="1609">
        <v>68150</v>
      </c>
    </row>
    <row r="138" spans="2:26">
      <c r="B138" s="1613" t="s">
        <v>533</v>
      </c>
      <c r="C138" s="1609">
        <v>23600</v>
      </c>
      <c r="D138" s="1609">
        <v>27000</v>
      </c>
      <c r="E138" s="1609">
        <v>30350</v>
      </c>
      <c r="F138" s="1609">
        <v>33700</v>
      </c>
      <c r="G138" s="1609">
        <v>36400</v>
      </c>
      <c r="H138" s="1609">
        <v>39100</v>
      </c>
      <c r="I138" s="1609">
        <v>41800</v>
      </c>
      <c r="J138" s="1609">
        <v>44500</v>
      </c>
      <c r="K138" s="1609">
        <v>14150</v>
      </c>
      <c r="L138" s="1609">
        <v>16200</v>
      </c>
      <c r="M138" s="1609">
        <v>20160</v>
      </c>
      <c r="N138" s="1609">
        <v>24300</v>
      </c>
      <c r="O138" s="1609">
        <v>28440</v>
      </c>
      <c r="P138" s="1609">
        <v>32580</v>
      </c>
      <c r="Q138" s="1609">
        <v>36730</v>
      </c>
      <c r="R138" s="1609">
        <v>40890</v>
      </c>
      <c r="S138" s="1609">
        <v>37750</v>
      </c>
      <c r="T138" s="1609">
        <v>43150</v>
      </c>
      <c r="U138" s="1609">
        <v>48550</v>
      </c>
      <c r="V138" s="1609">
        <v>53900</v>
      </c>
      <c r="W138" s="1609">
        <v>58250</v>
      </c>
      <c r="X138" s="1609">
        <v>62550</v>
      </c>
      <c r="Y138" s="1609">
        <v>66850</v>
      </c>
      <c r="Z138" s="1609">
        <v>71150</v>
      </c>
    </row>
    <row r="139" spans="2:26">
      <c r="B139" s="1613" t="s">
        <v>534</v>
      </c>
      <c r="C139" s="1609">
        <v>18400</v>
      </c>
      <c r="D139" s="1609">
        <v>21000</v>
      </c>
      <c r="E139" s="1609">
        <v>23650</v>
      </c>
      <c r="F139" s="1609">
        <v>26250</v>
      </c>
      <c r="G139" s="1609">
        <v>28350</v>
      </c>
      <c r="H139" s="1609">
        <v>30450</v>
      </c>
      <c r="I139" s="1609">
        <v>32550</v>
      </c>
      <c r="J139" s="1609">
        <v>34650</v>
      </c>
      <c r="K139" s="1609">
        <v>11880</v>
      </c>
      <c r="L139" s="1609">
        <v>16020</v>
      </c>
      <c r="M139" s="1609">
        <v>20160</v>
      </c>
      <c r="N139" s="1609">
        <v>24300</v>
      </c>
      <c r="O139" s="1609">
        <v>28350</v>
      </c>
      <c r="P139" s="1609">
        <v>30450</v>
      </c>
      <c r="Q139" s="1609">
        <v>32550</v>
      </c>
      <c r="R139" s="1609">
        <v>34650</v>
      </c>
      <c r="S139" s="1609">
        <v>29400</v>
      </c>
      <c r="T139" s="1609">
        <v>33600</v>
      </c>
      <c r="U139" s="1609">
        <v>37800</v>
      </c>
      <c r="V139" s="1609">
        <v>42000</v>
      </c>
      <c r="W139" s="1609">
        <v>45400</v>
      </c>
      <c r="X139" s="1609">
        <v>48750</v>
      </c>
      <c r="Y139" s="1609">
        <v>52100</v>
      </c>
      <c r="Z139" s="1609">
        <v>55450</v>
      </c>
    </row>
    <row r="140" spans="2:26">
      <c r="B140" s="1613" t="s">
        <v>535</v>
      </c>
      <c r="C140" s="1609">
        <v>26800</v>
      </c>
      <c r="D140" s="1609">
        <v>30600</v>
      </c>
      <c r="E140" s="1609">
        <v>34450</v>
      </c>
      <c r="F140" s="1609">
        <v>38250</v>
      </c>
      <c r="G140" s="1609">
        <v>41350</v>
      </c>
      <c r="H140" s="1609">
        <v>44400</v>
      </c>
      <c r="I140" s="1609">
        <v>47450</v>
      </c>
      <c r="J140" s="1609">
        <v>50500</v>
      </c>
      <c r="K140" s="1609">
        <v>16100</v>
      </c>
      <c r="L140" s="1609">
        <v>18400</v>
      </c>
      <c r="M140" s="1609">
        <v>20700</v>
      </c>
      <c r="N140" s="1609">
        <v>24300</v>
      </c>
      <c r="O140" s="1609">
        <v>28440</v>
      </c>
      <c r="P140" s="1609">
        <v>32580</v>
      </c>
      <c r="Q140" s="1609">
        <v>36730</v>
      </c>
      <c r="R140" s="1609">
        <v>40890</v>
      </c>
      <c r="S140" s="1609">
        <v>42850</v>
      </c>
      <c r="T140" s="1609">
        <v>49000</v>
      </c>
      <c r="U140" s="1609">
        <v>55100</v>
      </c>
      <c r="V140" s="1609">
        <v>61200</v>
      </c>
      <c r="W140" s="1609">
        <v>66100</v>
      </c>
      <c r="X140" s="1609">
        <v>71000</v>
      </c>
      <c r="Y140" s="1609">
        <v>75900</v>
      </c>
      <c r="Z140" s="1609">
        <v>80800</v>
      </c>
    </row>
    <row r="141" spans="2:26">
      <c r="B141" s="1613" t="s">
        <v>536</v>
      </c>
      <c r="C141" s="1609">
        <v>25700</v>
      </c>
      <c r="D141" s="1609">
        <v>29350</v>
      </c>
      <c r="E141" s="1609">
        <v>33000</v>
      </c>
      <c r="F141" s="1609">
        <v>36650</v>
      </c>
      <c r="G141" s="1609">
        <v>39600</v>
      </c>
      <c r="H141" s="1609">
        <v>42550</v>
      </c>
      <c r="I141" s="1609">
        <v>45450</v>
      </c>
      <c r="J141" s="1609">
        <v>48400</v>
      </c>
      <c r="K141" s="1609">
        <v>15400</v>
      </c>
      <c r="L141" s="1609">
        <v>17600</v>
      </c>
      <c r="M141" s="1609">
        <v>20160</v>
      </c>
      <c r="N141" s="1609">
        <v>24300</v>
      </c>
      <c r="O141" s="1609">
        <v>28440</v>
      </c>
      <c r="P141" s="1609">
        <v>32580</v>
      </c>
      <c r="Q141" s="1609">
        <v>36730</v>
      </c>
      <c r="R141" s="1609">
        <v>40890</v>
      </c>
      <c r="S141" s="1609">
        <v>41100</v>
      </c>
      <c r="T141" s="1609">
        <v>46950</v>
      </c>
      <c r="U141" s="1609">
        <v>52800</v>
      </c>
      <c r="V141" s="1609">
        <v>58650</v>
      </c>
      <c r="W141" s="1609">
        <v>63350</v>
      </c>
      <c r="X141" s="1609">
        <v>68050</v>
      </c>
      <c r="Y141" s="1609">
        <v>72750</v>
      </c>
      <c r="Z141" s="1609">
        <v>77450</v>
      </c>
    </row>
    <row r="142" spans="2:26">
      <c r="B142" s="1613" t="s">
        <v>537</v>
      </c>
      <c r="C142" s="1609">
        <v>19750</v>
      </c>
      <c r="D142" s="1609">
        <v>22550</v>
      </c>
      <c r="E142" s="1609">
        <v>25350</v>
      </c>
      <c r="F142" s="1609">
        <v>28150</v>
      </c>
      <c r="G142" s="1609">
        <v>30450</v>
      </c>
      <c r="H142" s="1609">
        <v>32700</v>
      </c>
      <c r="I142" s="1609">
        <v>34950</v>
      </c>
      <c r="J142" s="1609">
        <v>37200</v>
      </c>
      <c r="K142" s="1609">
        <v>11880</v>
      </c>
      <c r="L142" s="1609">
        <v>16020</v>
      </c>
      <c r="M142" s="1609">
        <v>20160</v>
      </c>
      <c r="N142" s="1609">
        <v>24300</v>
      </c>
      <c r="O142" s="1609">
        <v>28440</v>
      </c>
      <c r="P142" s="1609">
        <v>32580</v>
      </c>
      <c r="Q142" s="1609">
        <v>34950</v>
      </c>
      <c r="R142" s="1609">
        <v>37200</v>
      </c>
      <c r="S142" s="1609">
        <v>31550</v>
      </c>
      <c r="T142" s="1609">
        <v>36050</v>
      </c>
      <c r="U142" s="1609">
        <v>40550</v>
      </c>
      <c r="V142" s="1609">
        <v>45050</v>
      </c>
      <c r="W142" s="1609">
        <v>48700</v>
      </c>
      <c r="X142" s="1609">
        <v>52300</v>
      </c>
      <c r="Y142" s="1609">
        <v>55900</v>
      </c>
      <c r="Z142" s="1609">
        <v>59500</v>
      </c>
    </row>
    <row r="143" spans="2:26">
      <c r="B143" s="1613" t="s">
        <v>538</v>
      </c>
      <c r="C143" s="1609">
        <v>25700</v>
      </c>
      <c r="D143" s="1609">
        <v>29350</v>
      </c>
      <c r="E143" s="1609">
        <v>33000</v>
      </c>
      <c r="F143" s="1609">
        <v>36650</v>
      </c>
      <c r="G143" s="1609">
        <v>39600</v>
      </c>
      <c r="H143" s="1609">
        <v>42550</v>
      </c>
      <c r="I143" s="1609">
        <v>45450</v>
      </c>
      <c r="J143" s="1609">
        <v>48400</v>
      </c>
      <c r="K143" s="1609">
        <v>15400</v>
      </c>
      <c r="L143" s="1609">
        <v>17600</v>
      </c>
      <c r="M143" s="1609">
        <v>20160</v>
      </c>
      <c r="N143" s="1609">
        <v>24300</v>
      </c>
      <c r="O143" s="1609">
        <v>28440</v>
      </c>
      <c r="P143" s="1609">
        <v>32580</v>
      </c>
      <c r="Q143" s="1609">
        <v>36730</v>
      </c>
      <c r="R143" s="1609">
        <v>40890</v>
      </c>
      <c r="S143" s="1609">
        <v>41100</v>
      </c>
      <c r="T143" s="1609">
        <v>46950</v>
      </c>
      <c r="U143" s="1609">
        <v>52800</v>
      </c>
      <c r="V143" s="1609">
        <v>58650</v>
      </c>
      <c r="W143" s="1609">
        <v>63350</v>
      </c>
      <c r="X143" s="1609">
        <v>68050</v>
      </c>
      <c r="Y143" s="1609">
        <v>72750</v>
      </c>
      <c r="Z143" s="1609">
        <v>77450</v>
      </c>
    </row>
    <row r="144" spans="2:26">
      <c r="B144" s="1613" t="s">
        <v>539</v>
      </c>
      <c r="C144" s="1609">
        <v>18200</v>
      </c>
      <c r="D144" s="1609">
        <v>20800</v>
      </c>
      <c r="E144" s="1609">
        <v>23400</v>
      </c>
      <c r="F144" s="1609">
        <v>25950</v>
      </c>
      <c r="G144" s="1609">
        <v>28050</v>
      </c>
      <c r="H144" s="1609">
        <v>30150</v>
      </c>
      <c r="I144" s="1609">
        <v>32200</v>
      </c>
      <c r="J144" s="1609">
        <v>34300</v>
      </c>
      <c r="K144" s="1609">
        <v>11880</v>
      </c>
      <c r="L144" s="1609">
        <v>16020</v>
      </c>
      <c r="M144" s="1609">
        <v>20160</v>
      </c>
      <c r="N144" s="1609">
        <v>24300</v>
      </c>
      <c r="O144" s="1609">
        <v>28050</v>
      </c>
      <c r="P144" s="1609">
        <v>30150</v>
      </c>
      <c r="Q144" s="1609">
        <v>32200</v>
      </c>
      <c r="R144" s="1609">
        <v>34300</v>
      </c>
      <c r="S144" s="1609">
        <v>29050</v>
      </c>
      <c r="T144" s="1609">
        <v>33200</v>
      </c>
      <c r="U144" s="1609">
        <v>37350</v>
      </c>
      <c r="V144" s="1609">
        <v>41500</v>
      </c>
      <c r="W144" s="1609">
        <v>44850</v>
      </c>
      <c r="X144" s="1609">
        <v>48150</v>
      </c>
      <c r="Y144" s="1609">
        <v>51500</v>
      </c>
      <c r="Z144" s="1609">
        <v>54800</v>
      </c>
    </row>
    <row r="145" spans="2:26">
      <c r="B145" s="1613" t="s">
        <v>540</v>
      </c>
      <c r="C145" s="1609">
        <v>18200</v>
      </c>
      <c r="D145" s="1609">
        <v>20800</v>
      </c>
      <c r="E145" s="1609">
        <v>23400</v>
      </c>
      <c r="F145" s="1609">
        <v>25950</v>
      </c>
      <c r="G145" s="1609">
        <v>28050</v>
      </c>
      <c r="H145" s="1609">
        <v>30150</v>
      </c>
      <c r="I145" s="1609">
        <v>32200</v>
      </c>
      <c r="J145" s="1609">
        <v>34300</v>
      </c>
      <c r="K145" s="1609">
        <v>11880</v>
      </c>
      <c r="L145" s="1609">
        <v>16020</v>
      </c>
      <c r="M145" s="1609">
        <v>20160</v>
      </c>
      <c r="N145" s="1609">
        <v>24300</v>
      </c>
      <c r="O145" s="1609">
        <v>28050</v>
      </c>
      <c r="P145" s="1609">
        <v>30150</v>
      </c>
      <c r="Q145" s="1609">
        <v>32200</v>
      </c>
      <c r="R145" s="1609">
        <v>34300</v>
      </c>
      <c r="S145" s="1609">
        <v>29050</v>
      </c>
      <c r="T145" s="1609">
        <v>33200</v>
      </c>
      <c r="U145" s="1609">
        <v>37350</v>
      </c>
      <c r="V145" s="1609">
        <v>41500</v>
      </c>
      <c r="W145" s="1609">
        <v>44850</v>
      </c>
      <c r="X145" s="1609">
        <v>48150</v>
      </c>
      <c r="Y145" s="1609">
        <v>51500</v>
      </c>
      <c r="Z145" s="1609">
        <v>54800</v>
      </c>
    </row>
    <row r="146" spans="2:26">
      <c r="B146" s="1613" t="s">
        <v>541</v>
      </c>
      <c r="C146" s="1609">
        <v>18200</v>
      </c>
      <c r="D146" s="1609">
        <v>20800</v>
      </c>
      <c r="E146" s="1609">
        <v>23400</v>
      </c>
      <c r="F146" s="1609">
        <v>25950</v>
      </c>
      <c r="G146" s="1609">
        <v>28050</v>
      </c>
      <c r="H146" s="1609">
        <v>30150</v>
      </c>
      <c r="I146" s="1609">
        <v>32200</v>
      </c>
      <c r="J146" s="1609">
        <v>34300</v>
      </c>
      <c r="K146" s="1609">
        <v>11880</v>
      </c>
      <c r="L146" s="1609">
        <v>16020</v>
      </c>
      <c r="M146" s="1609">
        <v>20160</v>
      </c>
      <c r="N146" s="1609">
        <v>24300</v>
      </c>
      <c r="O146" s="1609">
        <v>28050</v>
      </c>
      <c r="P146" s="1609">
        <v>30150</v>
      </c>
      <c r="Q146" s="1609">
        <v>32200</v>
      </c>
      <c r="R146" s="1609">
        <v>34300</v>
      </c>
      <c r="S146" s="1609">
        <v>29050</v>
      </c>
      <c r="T146" s="1609">
        <v>33200</v>
      </c>
      <c r="U146" s="1609">
        <v>37350</v>
      </c>
      <c r="V146" s="1609">
        <v>41500</v>
      </c>
      <c r="W146" s="1609">
        <v>44850</v>
      </c>
      <c r="X146" s="1609">
        <v>48150</v>
      </c>
      <c r="Y146" s="1609">
        <v>51500</v>
      </c>
      <c r="Z146" s="1609">
        <v>54800</v>
      </c>
    </row>
    <row r="147" spans="2:26">
      <c r="B147" s="1613" t="s">
        <v>542</v>
      </c>
      <c r="C147" s="1609">
        <v>20900</v>
      </c>
      <c r="D147" s="1609">
        <v>23900</v>
      </c>
      <c r="E147" s="1609">
        <v>26900</v>
      </c>
      <c r="F147" s="1609">
        <v>29850</v>
      </c>
      <c r="G147" s="1609">
        <v>32250</v>
      </c>
      <c r="H147" s="1609">
        <v>34650</v>
      </c>
      <c r="I147" s="1609">
        <v>37050</v>
      </c>
      <c r="J147" s="1609">
        <v>39450</v>
      </c>
      <c r="K147" s="1609">
        <v>12550</v>
      </c>
      <c r="L147" s="1609">
        <v>16020</v>
      </c>
      <c r="M147" s="1609">
        <v>20160</v>
      </c>
      <c r="N147" s="1609">
        <v>24300</v>
      </c>
      <c r="O147" s="1609">
        <v>28440</v>
      </c>
      <c r="P147" s="1609">
        <v>32580</v>
      </c>
      <c r="Q147" s="1609">
        <v>36730</v>
      </c>
      <c r="R147" s="1609">
        <v>39450</v>
      </c>
      <c r="S147" s="1609">
        <v>33450</v>
      </c>
      <c r="T147" s="1609">
        <v>38200</v>
      </c>
      <c r="U147" s="1609">
        <v>43000</v>
      </c>
      <c r="V147" s="1609">
        <v>47750</v>
      </c>
      <c r="W147" s="1609">
        <v>51600</v>
      </c>
      <c r="X147" s="1609">
        <v>55400</v>
      </c>
      <c r="Y147" s="1609">
        <v>59250</v>
      </c>
      <c r="Z147" s="1609">
        <v>63050</v>
      </c>
    </row>
    <row r="148" spans="2:26">
      <c r="B148" s="1613" t="s">
        <v>543</v>
      </c>
      <c r="C148" s="1609">
        <v>18200</v>
      </c>
      <c r="D148" s="1609">
        <v>20800</v>
      </c>
      <c r="E148" s="1609">
        <v>23400</v>
      </c>
      <c r="F148" s="1609">
        <v>25950</v>
      </c>
      <c r="G148" s="1609">
        <v>28050</v>
      </c>
      <c r="H148" s="1609">
        <v>30150</v>
      </c>
      <c r="I148" s="1609">
        <v>32200</v>
      </c>
      <c r="J148" s="1609">
        <v>34300</v>
      </c>
      <c r="K148" s="1609">
        <v>11880</v>
      </c>
      <c r="L148" s="1609">
        <v>16020</v>
      </c>
      <c r="M148" s="1609">
        <v>20160</v>
      </c>
      <c r="N148" s="1609">
        <v>24300</v>
      </c>
      <c r="O148" s="1609">
        <v>28050</v>
      </c>
      <c r="P148" s="1609">
        <v>30150</v>
      </c>
      <c r="Q148" s="1609">
        <v>32200</v>
      </c>
      <c r="R148" s="1609">
        <v>34300</v>
      </c>
      <c r="S148" s="1609">
        <v>29050</v>
      </c>
      <c r="T148" s="1609">
        <v>33200</v>
      </c>
      <c r="U148" s="1609">
        <v>37350</v>
      </c>
      <c r="V148" s="1609">
        <v>41500</v>
      </c>
      <c r="W148" s="1609">
        <v>44850</v>
      </c>
      <c r="X148" s="1609">
        <v>48150</v>
      </c>
      <c r="Y148" s="1609">
        <v>51500</v>
      </c>
      <c r="Z148" s="1609">
        <v>54800</v>
      </c>
    </row>
    <row r="149" spans="2:26">
      <c r="B149" s="1613" t="s">
        <v>544</v>
      </c>
      <c r="C149" s="1609">
        <v>20400</v>
      </c>
      <c r="D149" s="1609">
        <v>23300</v>
      </c>
      <c r="E149" s="1609">
        <v>26200</v>
      </c>
      <c r="F149" s="1609">
        <v>29100</v>
      </c>
      <c r="G149" s="1609">
        <v>31450</v>
      </c>
      <c r="H149" s="1609">
        <v>33800</v>
      </c>
      <c r="I149" s="1609">
        <v>36100</v>
      </c>
      <c r="J149" s="1609">
        <v>38450</v>
      </c>
      <c r="K149" s="1609">
        <v>12250</v>
      </c>
      <c r="L149" s="1609">
        <v>16020</v>
      </c>
      <c r="M149" s="1609">
        <v>20160</v>
      </c>
      <c r="N149" s="1609">
        <v>24300</v>
      </c>
      <c r="O149" s="1609">
        <v>28440</v>
      </c>
      <c r="P149" s="1609">
        <v>32580</v>
      </c>
      <c r="Q149" s="1609">
        <v>36100</v>
      </c>
      <c r="R149" s="1609">
        <v>38450</v>
      </c>
      <c r="S149" s="1609">
        <v>32600</v>
      </c>
      <c r="T149" s="1609">
        <v>37250</v>
      </c>
      <c r="U149" s="1609">
        <v>41900</v>
      </c>
      <c r="V149" s="1609">
        <v>46550</v>
      </c>
      <c r="W149" s="1609">
        <v>50300</v>
      </c>
      <c r="X149" s="1609">
        <v>54000</v>
      </c>
      <c r="Y149" s="1609">
        <v>57750</v>
      </c>
      <c r="Z149" s="1609">
        <v>61450</v>
      </c>
    </row>
    <row r="150" spans="2:26">
      <c r="B150" s="1613" t="s">
        <v>545</v>
      </c>
      <c r="C150" s="1609">
        <v>18200</v>
      </c>
      <c r="D150" s="1609">
        <v>20800</v>
      </c>
      <c r="E150" s="1609">
        <v>23400</v>
      </c>
      <c r="F150" s="1609">
        <v>25950</v>
      </c>
      <c r="G150" s="1609">
        <v>28050</v>
      </c>
      <c r="H150" s="1609">
        <v>30150</v>
      </c>
      <c r="I150" s="1609">
        <v>32200</v>
      </c>
      <c r="J150" s="1609">
        <v>34300</v>
      </c>
      <c r="K150" s="1609">
        <v>11880</v>
      </c>
      <c r="L150" s="1609">
        <v>16020</v>
      </c>
      <c r="M150" s="1609">
        <v>20160</v>
      </c>
      <c r="N150" s="1609">
        <v>24300</v>
      </c>
      <c r="O150" s="1609">
        <v>28050</v>
      </c>
      <c r="P150" s="1609">
        <v>30150</v>
      </c>
      <c r="Q150" s="1609">
        <v>32200</v>
      </c>
      <c r="R150" s="1609">
        <v>34300</v>
      </c>
      <c r="S150" s="1609">
        <v>29050</v>
      </c>
      <c r="T150" s="1609">
        <v>33200</v>
      </c>
      <c r="U150" s="1609">
        <v>37350</v>
      </c>
      <c r="V150" s="1609">
        <v>41500</v>
      </c>
      <c r="W150" s="1609">
        <v>44850</v>
      </c>
      <c r="X150" s="1609">
        <v>48150</v>
      </c>
      <c r="Y150" s="1609">
        <v>51500</v>
      </c>
      <c r="Z150" s="1609">
        <v>54800</v>
      </c>
    </row>
    <row r="151" spans="2:26">
      <c r="B151" s="1613" t="s">
        <v>546</v>
      </c>
      <c r="C151" s="1609">
        <v>18200</v>
      </c>
      <c r="D151" s="1609">
        <v>20800</v>
      </c>
      <c r="E151" s="1609">
        <v>23400</v>
      </c>
      <c r="F151" s="1609">
        <v>25950</v>
      </c>
      <c r="G151" s="1609">
        <v>28050</v>
      </c>
      <c r="H151" s="1609">
        <v>30150</v>
      </c>
      <c r="I151" s="1609">
        <v>32200</v>
      </c>
      <c r="J151" s="1609">
        <v>34300</v>
      </c>
      <c r="K151" s="1609">
        <v>11880</v>
      </c>
      <c r="L151" s="1609">
        <v>16020</v>
      </c>
      <c r="M151" s="1609">
        <v>20160</v>
      </c>
      <c r="N151" s="1609">
        <v>24300</v>
      </c>
      <c r="O151" s="1609">
        <v>28050</v>
      </c>
      <c r="P151" s="1609">
        <v>30150</v>
      </c>
      <c r="Q151" s="1609">
        <v>32200</v>
      </c>
      <c r="R151" s="1609">
        <v>34300</v>
      </c>
      <c r="S151" s="1609">
        <v>29050</v>
      </c>
      <c r="T151" s="1609">
        <v>33200</v>
      </c>
      <c r="U151" s="1609">
        <v>37350</v>
      </c>
      <c r="V151" s="1609">
        <v>41500</v>
      </c>
      <c r="W151" s="1609">
        <v>44850</v>
      </c>
      <c r="X151" s="1609">
        <v>48150</v>
      </c>
      <c r="Y151" s="1609">
        <v>51500</v>
      </c>
      <c r="Z151" s="1609">
        <v>54800</v>
      </c>
    </row>
    <row r="152" spans="2:26">
      <c r="B152" s="1613" t="s">
        <v>547</v>
      </c>
      <c r="C152" s="1609">
        <v>23150</v>
      </c>
      <c r="D152" s="1609">
        <v>26450</v>
      </c>
      <c r="E152" s="1609">
        <v>29750</v>
      </c>
      <c r="F152" s="1609">
        <v>33050</v>
      </c>
      <c r="G152" s="1609">
        <v>35700</v>
      </c>
      <c r="H152" s="1609">
        <v>38350</v>
      </c>
      <c r="I152" s="1609">
        <v>41000</v>
      </c>
      <c r="J152" s="1609">
        <v>43650</v>
      </c>
      <c r="K152" s="1609">
        <v>13900</v>
      </c>
      <c r="L152" s="1609">
        <v>16020</v>
      </c>
      <c r="M152" s="1609">
        <v>20160</v>
      </c>
      <c r="N152" s="1609">
        <v>24300</v>
      </c>
      <c r="O152" s="1609">
        <v>28440</v>
      </c>
      <c r="P152" s="1609">
        <v>32580</v>
      </c>
      <c r="Q152" s="1609">
        <v>36730</v>
      </c>
      <c r="R152" s="1609">
        <v>40890</v>
      </c>
      <c r="S152" s="1609">
        <v>37050</v>
      </c>
      <c r="T152" s="1609">
        <v>42350</v>
      </c>
      <c r="U152" s="1609">
        <v>47650</v>
      </c>
      <c r="V152" s="1609">
        <v>52900</v>
      </c>
      <c r="W152" s="1609">
        <v>57150</v>
      </c>
      <c r="X152" s="1609">
        <v>61400</v>
      </c>
      <c r="Y152" s="1609">
        <v>65600</v>
      </c>
      <c r="Z152" s="1609">
        <v>69850</v>
      </c>
    </row>
    <row r="153" spans="2:26">
      <c r="B153" s="1613" t="s">
        <v>548</v>
      </c>
      <c r="C153" s="1609">
        <v>18700</v>
      </c>
      <c r="D153" s="1609">
        <v>21350</v>
      </c>
      <c r="E153" s="1609">
        <v>24000</v>
      </c>
      <c r="F153" s="1609">
        <v>26650</v>
      </c>
      <c r="G153" s="1609">
        <v>28800</v>
      </c>
      <c r="H153" s="1609">
        <v>30950</v>
      </c>
      <c r="I153" s="1609">
        <v>33050</v>
      </c>
      <c r="J153" s="1609">
        <v>35200</v>
      </c>
      <c r="K153" s="1609">
        <v>11880</v>
      </c>
      <c r="L153" s="1609">
        <v>16020</v>
      </c>
      <c r="M153" s="1609">
        <v>20160</v>
      </c>
      <c r="N153" s="1609">
        <v>24300</v>
      </c>
      <c r="O153" s="1609">
        <v>28440</v>
      </c>
      <c r="P153" s="1609">
        <v>30950</v>
      </c>
      <c r="Q153" s="1609">
        <v>33050</v>
      </c>
      <c r="R153" s="1609">
        <v>35200</v>
      </c>
      <c r="S153" s="1609">
        <v>29900</v>
      </c>
      <c r="T153" s="1609">
        <v>34150</v>
      </c>
      <c r="U153" s="1609">
        <v>38400</v>
      </c>
      <c r="V153" s="1609">
        <v>42650</v>
      </c>
      <c r="W153" s="1609">
        <v>46100</v>
      </c>
      <c r="X153" s="1609">
        <v>49500</v>
      </c>
      <c r="Y153" s="1609">
        <v>52900</v>
      </c>
      <c r="Z153" s="1609">
        <v>56300</v>
      </c>
    </row>
    <row r="154" spans="2:26">
      <c r="B154" s="1613" t="s">
        <v>549</v>
      </c>
      <c r="C154" s="1609">
        <v>18200</v>
      </c>
      <c r="D154" s="1609">
        <v>20800</v>
      </c>
      <c r="E154" s="1609">
        <v>23400</v>
      </c>
      <c r="F154" s="1609">
        <v>25950</v>
      </c>
      <c r="G154" s="1609">
        <v>28050</v>
      </c>
      <c r="H154" s="1609">
        <v>30150</v>
      </c>
      <c r="I154" s="1609">
        <v>32200</v>
      </c>
      <c r="J154" s="1609">
        <v>34300</v>
      </c>
      <c r="K154" s="1609">
        <v>11880</v>
      </c>
      <c r="L154" s="1609">
        <v>16020</v>
      </c>
      <c r="M154" s="1609">
        <v>20160</v>
      </c>
      <c r="N154" s="1609">
        <v>24300</v>
      </c>
      <c r="O154" s="1609">
        <v>28050</v>
      </c>
      <c r="P154" s="1609">
        <v>30150</v>
      </c>
      <c r="Q154" s="1609">
        <v>32200</v>
      </c>
      <c r="R154" s="1609">
        <v>34300</v>
      </c>
      <c r="S154" s="1609">
        <v>29050</v>
      </c>
      <c r="T154" s="1609">
        <v>33200</v>
      </c>
      <c r="U154" s="1609">
        <v>37350</v>
      </c>
      <c r="V154" s="1609">
        <v>41500</v>
      </c>
      <c r="W154" s="1609">
        <v>44850</v>
      </c>
      <c r="X154" s="1609">
        <v>48150</v>
      </c>
      <c r="Y154" s="1609">
        <v>51500</v>
      </c>
      <c r="Z154" s="1609">
        <v>54800</v>
      </c>
    </row>
    <row r="155" spans="2:26">
      <c r="B155" s="1613" t="s">
        <v>550</v>
      </c>
      <c r="C155" s="1609">
        <v>18200</v>
      </c>
      <c r="D155" s="1609">
        <v>20800</v>
      </c>
      <c r="E155" s="1609">
        <v>23400</v>
      </c>
      <c r="F155" s="1609">
        <v>25950</v>
      </c>
      <c r="G155" s="1609">
        <v>28050</v>
      </c>
      <c r="H155" s="1609">
        <v>30150</v>
      </c>
      <c r="I155" s="1609">
        <v>32200</v>
      </c>
      <c r="J155" s="1609">
        <v>34300</v>
      </c>
      <c r="K155" s="1609">
        <v>11880</v>
      </c>
      <c r="L155" s="1609">
        <v>16020</v>
      </c>
      <c r="M155" s="1609">
        <v>20160</v>
      </c>
      <c r="N155" s="1609">
        <v>24300</v>
      </c>
      <c r="O155" s="1609">
        <v>28050</v>
      </c>
      <c r="P155" s="1609">
        <v>30150</v>
      </c>
      <c r="Q155" s="1609">
        <v>32200</v>
      </c>
      <c r="R155" s="1609">
        <v>34300</v>
      </c>
      <c r="S155" s="1609">
        <v>29050</v>
      </c>
      <c r="T155" s="1609">
        <v>33200</v>
      </c>
      <c r="U155" s="1609">
        <v>37350</v>
      </c>
      <c r="V155" s="1609">
        <v>41500</v>
      </c>
      <c r="W155" s="1609">
        <v>44850</v>
      </c>
      <c r="X155" s="1609">
        <v>48150</v>
      </c>
      <c r="Y155" s="1609">
        <v>51500</v>
      </c>
      <c r="Z155" s="1609">
        <v>54800</v>
      </c>
    </row>
    <row r="156" spans="2:26">
      <c r="B156" s="1613" t="s">
        <v>551</v>
      </c>
      <c r="C156" s="1609">
        <v>18200</v>
      </c>
      <c r="D156" s="1609">
        <v>20800</v>
      </c>
      <c r="E156" s="1609">
        <v>23400</v>
      </c>
      <c r="F156" s="1609">
        <v>25950</v>
      </c>
      <c r="G156" s="1609">
        <v>28050</v>
      </c>
      <c r="H156" s="1609">
        <v>30150</v>
      </c>
      <c r="I156" s="1609">
        <v>32200</v>
      </c>
      <c r="J156" s="1609">
        <v>34300</v>
      </c>
      <c r="K156" s="1609">
        <v>11880</v>
      </c>
      <c r="L156" s="1609">
        <v>16020</v>
      </c>
      <c r="M156" s="1609">
        <v>20160</v>
      </c>
      <c r="N156" s="1609">
        <v>24300</v>
      </c>
      <c r="O156" s="1609">
        <v>28050</v>
      </c>
      <c r="P156" s="1609">
        <v>30150</v>
      </c>
      <c r="Q156" s="1609">
        <v>32200</v>
      </c>
      <c r="R156" s="1609">
        <v>34300</v>
      </c>
      <c r="S156" s="1609">
        <v>29050</v>
      </c>
      <c r="T156" s="1609">
        <v>33200</v>
      </c>
      <c r="U156" s="1609">
        <v>37350</v>
      </c>
      <c r="V156" s="1609">
        <v>41500</v>
      </c>
      <c r="W156" s="1609">
        <v>44850</v>
      </c>
      <c r="X156" s="1609">
        <v>48150</v>
      </c>
      <c r="Y156" s="1609">
        <v>51500</v>
      </c>
      <c r="Z156" s="1609">
        <v>54800</v>
      </c>
    </row>
    <row r="157" spans="2:26">
      <c r="B157" s="1613" t="s">
        <v>552</v>
      </c>
      <c r="C157" s="1609">
        <v>18200</v>
      </c>
      <c r="D157" s="1609">
        <v>20800</v>
      </c>
      <c r="E157" s="1609">
        <v>23400</v>
      </c>
      <c r="F157" s="1609">
        <v>25950</v>
      </c>
      <c r="G157" s="1609">
        <v>28050</v>
      </c>
      <c r="H157" s="1609">
        <v>30150</v>
      </c>
      <c r="I157" s="1609">
        <v>32200</v>
      </c>
      <c r="J157" s="1609">
        <v>34300</v>
      </c>
      <c r="K157" s="1609">
        <v>11880</v>
      </c>
      <c r="L157" s="1609">
        <v>16020</v>
      </c>
      <c r="M157" s="1609">
        <v>20160</v>
      </c>
      <c r="N157" s="1609">
        <v>24300</v>
      </c>
      <c r="O157" s="1609">
        <v>28050</v>
      </c>
      <c r="P157" s="1609">
        <v>30150</v>
      </c>
      <c r="Q157" s="1609">
        <v>32200</v>
      </c>
      <c r="R157" s="1609">
        <v>34300</v>
      </c>
      <c r="S157" s="1609">
        <v>29050</v>
      </c>
      <c r="T157" s="1609">
        <v>33200</v>
      </c>
      <c r="U157" s="1609">
        <v>37350</v>
      </c>
      <c r="V157" s="1609">
        <v>41500</v>
      </c>
      <c r="W157" s="1609">
        <v>44850</v>
      </c>
      <c r="X157" s="1609">
        <v>48150</v>
      </c>
      <c r="Y157" s="1609">
        <v>51500</v>
      </c>
      <c r="Z157" s="1609">
        <v>54800</v>
      </c>
    </row>
    <row r="158" spans="2:26">
      <c r="B158" s="1613" t="s">
        <v>553</v>
      </c>
      <c r="C158" s="1609">
        <v>20300</v>
      </c>
      <c r="D158" s="1609">
        <v>23200</v>
      </c>
      <c r="E158" s="1609">
        <v>26100</v>
      </c>
      <c r="F158" s="1609">
        <v>29000</v>
      </c>
      <c r="G158" s="1609">
        <v>31350</v>
      </c>
      <c r="H158" s="1609">
        <v>33650</v>
      </c>
      <c r="I158" s="1609">
        <v>36000</v>
      </c>
      <c r="J158" s="1609">
        <v>38300</v>
      </c>
      <c r="K158" s="1609">
        <v>12200</v>
      </c>
      <c r="L158" s="1609">
        <v>16020</v>
      </c>
      <c r="M158" s="1609">
        <v>20160</v>
      </c>
      <c r="N158" s="1609">
        <v>24300</v>
      </c>
      <c r="O158" s="1609">
        <v>28440</v>
      </c>
      <c r="P158" s="1609">
        <v>32580</v>
      </c>
      <c r="Q158" s="1609">
        <v>36000</v>
      </c>
      <c r="R158" s="1609">
        <v>38300</v>
      </c>
      <c r="S158" s="1609">
        <v>32500</v>
      </c>
      <c r="T158" s="1609">
        <v>37150</v>
      </c>
      <c r="U158" s="1609">
        <v>41800</v>
      </c>
      <c r="V158" s="1609">
        <v>46400</v>
      </c>
      <c r="W158" s="1609">
        <v>50150</v>
      </c>
      <c r="X158" s="1609">
        <v>53850</v>
      </c>
      <c r="Y158" s="1609">
        <v>57550</v>
      </c>
      <c r="Z158" s="1609">
        <v>61250</v>
      </c>
    </row>
    <row r="159" spans="2:26">
      <c r="B159" s="1613" t="s">
        <v>554</v>
      </c>
      <c r="C159" s="1609">
        <v>19350</v>
      </c>
      <c r="D159" s="1609">
        <v>22100</v>
      </c>
      <c r="E159" s="1609">
        <v>24850</v>
      </c>
      <c r="F159" s="1609">
        <v>27600</v>
      </c>
      <c r="G159" s="1609">
        <v>29850</v>
      </c>
      <c r="H159" s="1609">
        <v>32050</v>
      </c>
      <c r="I159" s="1609">
        <v>34250</v>
      </c>
      <c r="J159" s="1609">
        <v>36450</v>
      </c>
      <c r="K159" s="1609">
        <v>11880</v>
      </c>
      <c r="L159" s="1609">
        <v>16020</v>
      </c>
      <c r="M159" s="1609">
        <v>20160</v>
      </c>
      <c r="N159" s="1609">
        <v>24300</v>
      </c>
      <c r="O159" s="1609">
        <v>28440</v>
      </c>
      <c r="P159" s="1609">
        <v>32050</v>
      </c>
      <c r="Q159" s="1609">
        <v>34250</v>
      </c>
      <c r="R159" s="1609">
        <v>36450</v>
      </c>
      <c r="S159" s="1609">
        <v>30950</v>
      </c>
      <c r="T159" s="1609">
        <v>35350</v>
      </c>
      <c r="U159" s="1609">
        <v>39750</v>
      </c>
      <c r="V159" s="1609">
        <v>44150</v>
      </c>
      <c r="W159" s="1609">
        <v>47700</v>
      </c>
      <c r="X159" s="1609">
        <v>51250</v>
      </c>
      <c r="Y159" s="1609">
        <v>54750</v>
      </c>
      <c r="Z159" s="1609">
        <v>58300</v>
      </c>
    </row>
    <row r="160" spans="2:26">
      <c r="B160" s="1613" t="s">
        <v>555</v>
      </c>
      <c r="C160" s="1609">
        <v>18800</v>
      </c>
      <c r="D160" s="1609">
        <v>21450</v>
      </c>
      <c r="E160" s="1609">
        <v>24150</v>
      </c>
      <c r="F160" s="1609">
        <v>26800</v>
      </c>
      <c r="G160" s="1609">
        <v>28950</v>
      </c>
      <c r="H160" s="1609">
        <v>31100</v>
      </c>
      <c r="I160" s="1609">
        <v>33250</v>
      </c>
      <c r="J160" s="1609">
        <v>35400</v>
      </c>
      <c r="K160" s="1609">
        <v>11880</v>
      </c>
      <c r="L160" s="1609">
        <v>16020</v>
      </c>
      <c r="M160" s="1609">
        <v>20160</v>
      </c>
      <c r="N160" s="1609">
        <v>24300</v>
      </c>
      <c r="O160" s="1609">
        <v>28440</v>
      </c>
      <c r="P160" s="1609">
        <v>31100</v>
      </c>
      <c r="Q160" s="1609">
        <v>33250</v>
      </c>
      <c r="R160" s="1609">
        <v>35400</v>
      </c>
      <c r="S160" s="1609">
        <v>30050</v>
      </c>
      <c r="T160" s="1609">
        <v>34350</v>
      </c>
      <c r="U160" s="1609">
        <v>38650</v>
      </c>
      <c r="V160" s="1609">
        <v>42900</v>
      </c>
      <c r="W160" s="1609">
        <v>46350</v>
      </c>
      <c r="X160" s="1609">
        <v>49800</v>
      </c>
      <c r="Y160" s="1609">
        <v>53200</v>
      </c>
      <c r="Z160" s="1609">
        <v>56650</v>
      </c>
    </row>
    <row r="161" spans="2:26">
      <c r="B161" s="1613" t="s">
        <v>556</v>
      </c>
      <c r="C161" s="1609">
        <v>18200</v>
      </c>
      <c r="D161" s="1609">
        <v>20800</v>
      </c>
      <c r="E161" s="1609">
        <v>23400</v>
      </c>
      <c r="F161" s="1609">
        <v>25950</v>
      </c>
      <c r="G161" s="1609">
        <v>28050</v>
      </c>
      <c r="H161" s="1609">
        <v>30150</v>
      </c>
      <c r="I161" s="1609">
        <v>32200</v>
      </c>
      <c r="J161" s="1609">
        <v>34300</v>
      </c>
      <c r="K161" s="1609">
        <v>11880</v>
      </c>
      <c r="L161" s="1609">
        <v>16020</v>
      </c>
      <c r="M161" s="1609">
        <v>20160</v>
      </c>
      <c r="N161" s="1609">
        <v>24300</v>
      </c>
      <c r="O161" s="1609">
        <v>28050</v>
      </c>
      <c r="P161" s="1609">
        <v>30150</v>
      </c>
      <c r="Q161" s="1609">
        <v>32200</v>
      </c>
      <c r="R161" s="1609">
        <v>34300</v>
      </c>
      <c r="S161" s="1609">
        <v>29050</v>
      </c>
      <c r="T161" s="1609">
        <v>33200</v>
      </c>
      <c r="U161" s="1609">
        <v>37350</v>
      </c>
      <c r="V161" s="1609">
        <v>41500</v>
      </c>
      <c r="W161" s="1609">
        <v>44850</v>
      </c>
      <c r="X161" s="1609">
        <v>48150</v>
      </c>
      <c r="Y161" s="1609">
        <v>51500</v>
      </c>
      <c r="Z161" s="1609">
        <v>54800</v>
      </c>
    </row>
    <row r="162" spans="2:26">
      <c r="B162" s="1613" t="s">
        <v>557</v>
      </c>
      <c r="C162" s="1609">
        <v>19800</v>
      </c>
      <c r="D162" s="1609">
        <v>22600</v>
      </c>
      <c r="E162" s="1609">
        <v>25450</v>
      </c>
      <c r="F162" s="1609">
        <v>28250</v>
      </c>
      <c r="G162" s="1609">
        <v>30550</v>
      </c>
      <c r="H162" s="1609">
        <v>32800</v>
      </c>
      <c r="I162" s="1609">
        <v>35050</v>
      </c>
      <c r="J162" s="1609">
        <v>37300</v>
      </c>
      <c r="K162" s="1609">
        <v>11900</v>
      </c>
      <c r="L162" s="1609">
        <v>16020</v>
      </c>
      <c r="M162" s="1609">
        <v>20160</v>
      </c>
      <c r="N162" s="1609">
        <v>24300</v>
      </c>
      <c r="O162" s="1609">
        <v>28440</v>
      </c>
      <c r="P162" s="1609">
        <v>32580</v>
      </c>
      <c r="Q162" s="1609">
        <v>35050</v>
      </c>
      <c r="R162" s="1609">
        <v>37300</v>
      </c>
      <c r="S162" s="1609">
        <v>31650</v>
      </c>
      <c r="T162" s="1609">
        <v>36200</v>
      </c>
      <c r="U162" s="1609">
        <v>40700</v>
      </c>
      <c r="V162" s="1609">
        <v>45200</v>
      </c>
      <c r="W162" s="1609">
        <v>48850</v>
      </c>
      <c r="X162" s="1609">
        <v>52450</v>
      </c>
      <c r="Y162" s="1609">
        <v>56050</v>
      </c>
      <c r="Z162" s="1609">
        <v>59700</v>
      </c>
    </row>
    <row r="163" spans="2:26">
      <c r="B163" s="1613" t="s">
        <v>558</v>
      </c>
      <c r="C163" s="1609">
        <v>18900</v>
      </c>
      <c r="D163" s="1609">
        <v>21600</v>
      </c>
      <c r="E163" s="1609">
        <v>24300</v>
      </c>
      <c r="F163" s="1609">
        <v>27000</v>
      </c>
      <c r="G163" s="1609">
        <v>29200</v>
      </c>
      <c r="H163" s="1609">
        <v>31350</v>
      </c>
      <c r="I163" s="1609">
        <v>33500</v>
      </c>
      <c r="J163" s="1609">
        <v>35650</v>
      </c>
      <c r="K163" s="1609">
        <v>11880</v>
      </c>
      <c r="L163" s="1609">
        <v>16020</v>
      </c>
      <c r="M163" s="1609">
        <v>20160</v>
      </c>
      <c r="N163" s="1609">
        <v>24300</v>
      </c>
      <c r="O163" s="1609">
        <v>28440</v>
      </c>
      <c r="P163" s="1609">
        <v>31350</v>
      </c>
      <c r="Q163" s="1609">
        <v>33500</v>
      </c>
      <c r="R163" s="1609">
        <v>35650</v>
      </c>
      <c r="S163" s="1609">
        <v>30250</v>
      </c>
      <c r="T163" s="1609">
        <v>34600</v>
      </c>
      <c r="U163" s="1609">
        <v>38900</v>
      </c>
      <c r="V163" s="1609">
        <v>43200</v>
      </c>
      <c r="W163" s="1609">
        <v>46700</v>
      </c>
      <c r="X163" s="1609">
        <v>50150</v>
      </c>
      <c r="Y163" s="1609">
        <v>53600</v>
      </c>
      <c r="Z163" s="1609">
        <v>57050</v>
      </c>
    </row>
    <row r="164" spans="2:26">
      <c r="B164" s="1613" t="s">
        <v>559</v>
      </c>
      <c r="C164" s="1609">
        <v>25700</v>
      </c>
      <c r="D164" s="1609">
        <v>29350</v>
      </c>
      <c r="E164" s="1609">
        <v>33000</v>
      </c>
      <c r="F164" s="1609">
        <v>36650</v>
      </c>
      <c r="G164" s="1609">
        <v>39600</v>
      </c>
      <c r="H164" s="1609">
        <v>42550</v>
      </c>
      <c r="I164" s="1609">
        <v>45450</v>
      </c>
      <c r="J164" s="1609">
        <v>48400</v>
      </c>
      <c r="K164" s="1609">
        <v>15400</v>
      </c>
      <c r="L164" s="1609">
        <v>17600</v>
      </c>
      <c r="M164" s="1609">
        <v>20160</v>
      </c>
      <c r="N164" s="1609">
        <v>24300</v>
      </c>
      <c r="O164" s="1609">
        <v>28440</v>
      </c>
      <c r="P164" s="1609">
        <v>32580</v>
      </c>
      <c r="Q164" s="1609">
        <v>36730</v>
      </c>
      <c r="R164" s="1609">
        <v>40890</v>
      </c>
      <c r="S164" s="1609">
        <v>41100</v>
      </c>
      <c r="T164" s="1609">
        <v>46950</v>
      </c>
      <c r="U164" s="1609">
        <v>52800</v>
      </c>
      <c r="V164" s="1609">
        <v>58650</v>
      </c>
      <c r="W164" s="1609">
        <v>63350</v>
      </c>
      <c r="X164" s="1609">
        <v>68050</v>
      </c>
      <c r="Y164" s="1609">
        <v>72750</v>
      </c>
      <c r="Z164" s="1609">
        <v>77450</v>
      </c>
    </row>
    <row r="165" spans="2:26">
      <c r="B165" s="1613" t="s">
        <v>560</v>
      </c>
      <c r="C165" s="1609">
        <v>19800</v>
      </c>
      <c r="D165" s="1609">
        <v>22600</v>
      </c>
      <c r="E165" s="1609">
        <v>25450</v>
      </c>
      <c r="F165" s="1609">
        <v>28250</v>
      </c>
      <c r="G165" s="1609">
        <v>30550</v>
      </c>
      <c r="H165" s="1609">
        <v>32800</v>
      </c>
      <c r="I165" s="1609">
        <v>35050</v>
      </c>
      <c r="J165" s="1609">
        <v>37300</v>
      </c>
      <c r="K165" s="1609">
        <v>11900</v>
      </c>
      <c r="L165" s="1609">
        <v>16020</v>
      </c>
      <c r="M165" s="1609">
        <v>20160</v>
      </c>
      <c r="N165" s="1609">
        <v>24300</v>
      </c>
      <c r="O165" s="1609">
        <v>28440</v>
      </c>
      <c r="P165" s="1609">
        <v>32580</v>
      </c>
      <c r="Q165" s="1609">
        <v>35050</v>
      </c>
      <c r="R165" s="1609">
        <v>37300</v>
      </c>
      <c r="S165" s="1609">
        <v>31650</v>
      </c>
      <c r="T165" s="1609">
        <v>36200</v>
      </c>
      <c r="U165" s="1609">
        <v>40700</v>
      </c>
      <c r="V165" s="1609">
        <v>45200</v>
      </c>
      <c r="W165" s="1609">
        <v>48850</v>
      </c>
      <c r="X165" s="1609">
        <v>52450</v>
      </c>
      <c r="Y165" s="1609">
        <v>56050</v>
      </c>
      <c r="Z165" s="1609">
        <v>59700</v>
      </c>
    </row>
    <row r="166" spans="2:26">
      <c r="B166" s="1613" t="s">
        <v>561</v>
      </c>
      <c r="C166" s="1609">
        <v>20550</v>
      </c>
      <c r="D166" s="1609">
        <v>23450</v>
      </c>
      <c r="E166" s="1609">
        <v>26400</v>
      </c>
      <c r="F166" s="1609">
        <v>29300</v>
      </c>
      <c r="G166" s="1609">
        <v>31650</v>
      </c>
      <c r="H166" s="1609">
        <v>34000</v>
      </c>
      <c r="I166" s="1609">
        <v>36350</v>
      </c>
      <c r="J166" s="1609">
        <v>38700</v>
      </c>
      <c r="K166" s="1609">
        <v>12350</v>
      </c>
      <c r="L166" s="1609">
        <v>16020</v>
      </c>
      <c r="M166" s="1609">
        <v>20160</v>
      </c>
      <c r="N166" s="1609">
        <v>24300</v>
      </c>
      <c r="O166" s="1609">
        <v>28440</v>
      </c>
      <c r="P166" s="1609">
        <v>32580</v>
      </c>
      <c r="Q166" s="1609">
        <v>36350</v>
      </c>
      <c r="R166" s="1609">
        <v>38700</v>
      </c>
      <c r="S166" s="1609">
        <v>32850</v>
      </c>
      <c r="T166" s="1609">
        <v>37550</v>
      </c>
      <c r="U166" s="1609">
        <v>42250</v>
      </c>
      <c r="V166" s="1609">
        <v>46900</v>
      </c>
      <c r="W166" s="1609">
        <v>50700</v>
      </c>
      <c r="X166" s="1609">
        <v>54450</v>
      </c>
      <c r="Y166" s="1609">
        <v>58200</v>
      </c>
      <c r="Z166" s="1609">
        <v>61950</v>
      </c>
    </row>
    <row r="167" spans="2:26">
      <c r="B167" s="1613" t="s">
        <v>562</v>
      </c>
      <c r="C167" s="1609">
        <v>18450</v>
      </c>
      <c r="D167" s="1609">
        <v>21050</v>
      </c>
      <c r="E167" s="1609">
        <v>23700</v>
      </c>
      <c r="F167" s="1609">
        <v>26300</v>
      </c>
      <c r="G167" s="1609">
        <v>28450</v>
      </c>
      <c r="H167" s="1609">
        <v>30550</v>
      </c>
      <c r="I167" s="1609">
        <v>32650</v>
      </c>
      <c r="J167" s="1609">
        <v>34750</v>
      </c>
      <c r="K167" s="1609">
        <v>11880</v>
      </c>
      <c r="L167" s="1609">
        <v>16020</v>
      </c>
      <c r="M167" s="1609">
        <v>20160</v>
      </c>
      <c r="N167" s="1609">
        <v>24300</v>
      </c>
      <c r="O167" s="1609">
        <v>28440</v>
      </c>
      <c r="P167" s="1609">
        <v>30550</v>
      </c>
      <c r="Q167" s="1609">
        <v>32650</v>
      </c>
      <c r="R167" s="1609">
        <v>34750</v>
      </c>
      <c r="S167" s="1609">
        <v>29500</v>
      </c>
      <c r="T167" s="1609">
        <v>33700</v>
      </c>
      <c r="U167" s="1609">
        <v>37900</v>
      </c>
      <c r="V167" s="1609">
        <v>42100</v>
      </c>
      <c r="W167" s="1609">
        <v>45500</v>
      </c>
      <c r="X167" s="1609">
        <v>48850</v>
      </c>
      <c r="Y167" s="1609">
        <v>52250</v>
      </c>
      <c r="Z167" s="1609">
        <v>55600</v>
      </c>
    </row>
    <row r="168" spans="2:26">
      <c r="B168" s="1613" t="s">
        <v>563</v>
      </c>
      <c r="C168" s="1609">
        <v>20450</v>
      </c>
      <c r="D168" s="1609">
        <v>23350</v>
      </c>
      <c r="E168" s="1609">
        <v>26250</v>
      </c>
      <c r="F168" s="1609">
        <v>29150</v>
      </c>
      <c r="G168" s="1609">
        <v>31500</v>
      </c>
      <c r="H168" s="1609">
        <v>33850</v>
      </c>
      <c r="I168" s="1609">
        <v>36150</v>
      </c>
      <c r="J168" s="1609">
        <v>38500</v>
      </c>
      <c r="K168" s="1609">
        <v>12250</v>
      </c>
      <c r="L168" s="1609">
        <v>16020</v>
      </c>
      <c r="M168" s="1609">
        <v>20160</v>
      </c>
      <c r="N168" s="1609">
        <v>24300</v>
      </c>
      <c r="O168" s="1609">
        <v>28440</v>
      </c>
      <c r="P168" s="1609">
        <v>32580</v>
      </c>
      <c r="Q168" s="1609">
        <v>36150</v>
      </c>
      <c r="R168" s="1609">
        <v>38500</v>
      </c>
      <c r="S168" s="1609">
        <v>32700</v>
      </c>
      <c r="T168" s="1609">
        <v>37350</v>
      </c>
      <c r="U168" s="1609">
        <v>42000</v>
      </c>
      <c r="V168" s="1609">
        <v>46650</v>
      </c>
      <c r="W168" s="1609">
        <v>50400</v>
      </c>
      <c r="X168" s="1609">
        <v>54150</v>
      </c>
      <c r="Y168" s="1609">
        <v>57850</v>
      </c>
      <c r="Z168" s="1609">
        <v>61600</v>
      </c>
    </row>
    <row r="169" spans="2:26">
      <c r="B169" s="1613" t="s">
        <v>564</v>
      </c>
      <c r="C169" s="1609">
        <v>18700</v>
      </c>
      <c r="D169" s="1609">
        <v>21350</v>
      </c>
      <c r="E169" s="1609">
        <v>24000</v>
      </c>
      <c r="F169" s="1609">
        <v>26650</v>
      </c>
      <c r="G169" s="1609">
        <v>28800</v>
      </c>
      <c r="H169" s="1609">
        <v>30950</v>
      </c>
      <c r="I169" s="1609">
        <v>33050</v>
      </c>
      <c r="J169" s="1609">
        <v>35200</v>
      </c>
      <c r="K169" s="1609">
        <v>11880</v>
      </c>
      <c r="L169" s="1609">
        <v>16020</v>
      </c>
      <c r="M169" s="1609">
        <v>20160</v>
      </c>
      <c r="N169" s="1609">
        <v>24300</v>
      </c>
      <c r="O169" s="1609">
        <v>28440</v>
      </c>
      <c r="P169" s="1609">
        <v>30950</v>
      </c>
      <c r="Q169" s="1609">
        <v>33050</v>
      </c>
      <c r="R169" s="1609">
        <v>35200</v>
      </c>
      <c r="S169" s="1609">
        <v>29900</v>
      </c>
      <c r="T169" s="1609">
        <v>34150</v>
      </c>
      <c r="U169" s="1609">
        <v>38400</v>
      </c>
      <c r="V169" s="1609">
        <v>42650</v>
      </c>
      <c r="W169" s="1609">
        <v>46100</v>
      </c>
      <c r="X169" s="1609">
        <v>49500</v>
      </c>
      <c r="Y169" s="1609">
        <v>52900</v>
      </c>
      <c r="Z169" s="1609">
        <v>56300</v>
      </c>
    </row>
    <row r="170" spans="2:26">
      <c r="B170" s="1613" t="s">
        <v>565</v>
      </c>
      <c r="C170" s="1609">
        <v>19600</v>
      </c>
      <c r="D170" s="1609">
        <v>22400</v>
      </c>
      <c r="E170" s="1609">
        <v>25200</v>
      </c>
      <c r="F170" s="1609">
        <v>28000</v>
      </c>
      <c r="G170" s="1609">
        <v>30250</v>
      </c>
      <c r="H170" s="1609">
        <v>32500</v>
      </c>
      <c r="I170" s="1609">
        <v>34750</v>
      </c>
      <c r="J170" s="1609">
        <v>37000</v>
      </c>
      <c r="K170" s="1609">
        <v>11880</v>
      </c>
      <c r="L170" s="1609">
        <v>16020</v>
      </c>
      <c r="M170" s="1609">
        <v>20160</v>
      </c>
      <c r="N170" s="1609">
        <v>24300</v>
      </c>
      <c r="O170" s="1609">
        <v>28440</v>
      </c>
      <c r="P170" s="1609">
        <v>32500</v>
      </c>
      <c r="Q170" s="1609">
        <v>34750</v>
      </c>
      <c r="R170" s="1609">
        <v>37000</v>
      </c>
      <c r="S170" s="1609">
        <v>31400</v>
      </c>
      <c r="T170" s="1609">
        <v>35850</v>
      </c>
      <c r="U170" s="1609">
        <v>40350</v>
      </c>
      <c r="V170" s="1609">
        <v>44800</v>
      </c>
      <c r="W170" s="1609">
        <v>48400</v>
      </c>
      <c r="X170" s="1609">
        <v>52000</v>
      </c>
      <c r="Y170" s="1609">
        <v>55600</v>
      </c>
      <c r="Z170" s="1609">
        <v>59150</v>
      </c>
    </row>
    <row r="171" spans="2:26">
      <c r="B171" s="1613" t="s">
        <v>566</v>
      </c>
      <c r="C171" s="1609">
        <v>19250</v>
      </c>
      <c r="D171" s="1609">
        <v>22000</v>
      </c>
      <c r="E171" s="1609">
        <v>24750</v>
      </c>
      <c r="F171" s="1609">
        <v>27500</v>
      </c>
      <c r="G171" s="1609">
        <v>29700</v>
      </c>
      <c r="H171" s="1609">
        <v>31900</v>
      </c>
      <c r="I171" s="1609">
        <v>34100</v>
      </c>
      <c r="J171" s="1609">
        <v>36300</v>
      </c>
      <c r="K171" s="1609">
        <v>11880</v>
      </c>
      <c r="L171" s="1609">
        <v>16020</v>
      </c>
      <c r="M171" s="1609">
        <v>20160</v>
      </c>
      <c r="N171" s="1609">
        <v>24300</v>
      </c>
      <c r="O171" s="1609">
        <v>28440</v>
      </c>
      <c r="P171" s="1609">
        <v>31900</v>
      </c>
      <c r="Q171" s="1609">
        <v>34100</v>
      </c>
      <c r="R171" s="1609">
        <v>36300</v>
      </c>
      <c r="S171" s="1609">
        <v>30800</v>
      </c>
      <c r="T171" s="1609">
        <v>35200</v>
      </c>
      <c r="U171" s="1609">
        <v>39600</v>
      </c>
      <c r="V171" s="1609">
        <v>44000</v>
      </c>
      <c r="W171" s="1609">
        <v>47550</v>
      </c>
      <c r="X171" s="1609">
        <v>51050</v>
      </c>
      <c r="Y171" s="1609">
        <v>54600</v>
      </c>
      <c r="Z171" s="1609">
        <v>58100</v>
      </c>
    </row>
    <row r="172" spans="2:26">
      <c r="B172" s="1613" t="s">
        <v>567</v>
      </c>
      <c r="C172" s="1609">
        <v>25700</v>
      </c>
      <c r="D172" s="1609">
        <v>29350</v>
      </c>
      <c r="E172" s="1609">
        <v>33000</v>
      </c>
      <c r="F172" s="1609">
        <v>36650</v>
      </c>
      <c r="G172" s="1609">
        <v>39600</v>
      </c>
      <c r="H172" s="1609">
        <v>42550</v>
      </c>
      <c r="I172" s="1609">
        <v>45450</v>
      </c>
      <c r="J172" s="1609">
        <v>48400</v>
      </c>
      <c r="K172" s="1609">
        <v>15400</v>
      </c>
      <c r="L172" s="1609">
        <v>17600</v>
      </c>
      <c r="M172" s="1609">
        <v>20160</v>
      </c>
      <c r="N172" s="1609">
        <v>24300</v>
      </c>
      <c r="O172" s="1609">
        <v>28440</v>
      </c>
      <c r="P172" s="1609">
        <v>32580</v>
      </c>
      <c r="Q172" s="1609">
        <v>36730</v>
      </c>
      <c r="R172" s="1609">
        <v>40890</v>
      </c>
      <c r="S172" s="1609">
        <v>41100</v>
      </c>
      <c r="T172" s="1609">
        <v>46950</v>
      </c>
      <c r="U172" s="1609">
        <v>52800</v>
      </c>
      <c r="V172" s="1609">
        <v>58650</v>
      </c>
      <c r="W172" s="1609">
        <v>63350</v>
      </c>
      <c r="X172" s="1609">
        <v>68050</v>
      </c>
      <c r="Y172" s="1609">
        <v>72750</v>
      </c>
      <c r="Z172" s="1609">
        <v>77450</v>
      </c>
    </row>
    <row r="173" spans="2:26">
      <c r="B173" s="1613" t="s">
        <v>568</v>
      </c>
      <c r="C173" s="1609">
        <v>18200</v>
      </c>
      <c r="D173" s="1609">
        <v>20800</v>
      </c>
      <c r="E173" s="1609">
        <v>23400</v>
      </c>
      <c r="F173" s="1609">
        <v>25950</v>
      </c>
      <c r="G173" s="1609">
        <v>28050</v>
      </c>
      <c r="H173" s="1609">
        <v>30150</v>
      </c>
      <c r="I173" s="1609">
        <v>32200</v>
      </c>
      <c r="J173" s="1609">
        <v>34300</v>
      </c>
      <c r="K173" s="1609">
        <v>11880</v>
      </c>
      <c r="L173" s="1609">
        <v>16020</v>
      </c>
      <c r="M173" s="1609">
        <v>20160</v>
      </c>
      <c r="N173" s="1609">
        <v>24300</v>
      </c>
      <c r="O173" s="1609">
        <v>28050</v>
      </c>
      <c r="P173" s="1609">
        <v>30150</v>
      </c>
      <c r="Q173" s="1609">
        <v>32200</v>
      </c>
      <c r="R173" s="1609">
        <v>34300</v>
      </c>
      <c r="S173" s="1609">
        <v>29050</v>
      </c>
      <c r="T173" s="1609">
        <v>33200</v>
      </c>
      <c r="U173" s="1609">
        <v>37350</v>
      </c>
      <c r="V173" s="1609">
        <v>41500</v>
      </c>
      <c r="W173" s="1609">
        <v>44850</v>
      </c>
      <c r="X173" s="1609">
        <v>48150</v>
      </c>
      <c r="Y173" s="1609">
        <v>51500</v>
      </c>
      <c r="Z173" s="1609">
        <v>54800</v>
      </c>
    </row>
    <row r="174" spans="2:26">
      <c r="B174" s="1613" t="s">
        <v>569</v>
      </c>
      <c r="C174" s="1609">
        <v>25700</v>
      </c>
      <c r="D174" s="1609">
        <v>29350</v>
      </c>
      <c r="E174" s="1609">
        <v>33000</v>
      </c>
      <c r="F174" s="1609">
        <v>36650</v>
      </c>
      <c r="G174" s="1609">
        <v>39600</v>
      </c>
      <c r="H174" s="1609">
        <v>42550</v>
      </c>
      <c r="I174" s="1609">
        <v>45450</v>
      </c>
      <c r="J174" s="1609">
        <v>48400</v>
      </c>
      <c r="K174" s="1609">
        <v>15400</v>
      </c>
      <c r="L174" s="1609">
        <v>17600</v>
      </c>
      <c r="M174" s="1609">
        <v>20160</v>
      </c>
      <c r="N174" s="1609">
        <v>24300</v>
      </c>
      <c r="O174" s="1609">
        <v>28440</v>
      </c>
      <c r="P174" s="1609">
        <v>32580</v>
      </c>
      <c r="Q174" s="1609">
        <v>36730</v>
      </c>
      <c r="R174" s="1609">
        <v>40890</v>
      </c>
      <c r="S174" s="1609">
        <v>41100</v>
      </c>
      <c r="T174" s="1609">
        <v>46950</v>
      </c>
      <c r="U174" s="1609">
        <v>52800</v>
      </c>
      <c r="V174" s="1609">
        <v>58650</v>
      </c>
      <c r="W174" s="1609">
        <v>63350</v>
      </c>
      <c r="X174" s="1609">
        <v>68050</v>
      </c>
      <c r="Y174" s="1609">
        <v>72750</v>
      </c>
      <c r="Z174" s="1609">
        <v>77450</v>
      </c>
    </row>
    <row r="175" spans="2:26">
      <c r="B175" s="1613" t="s">
        <v>570</v>
      </c>
      <c r="C175" s="1609">
        <v>22450</v>
      </c>
      <c r="D175" s="1609">
        <v>25650</v>
      </c>
      <c r="E175" s="1609">
        <v>28850</v>
      </c>
      <c r="F175" s="1609">
        <v>32050</v>
      </c>
      <c r="G175" s="1609">
        <v>34650</v>
      </c>
      <c r="H175" s="1609">
        <v>37200</v>
      </c>
      <c r="I175" s="1609">
        <v>39750</v>
      </c>
      <c r="J175" s="1609">
        <v>42350</v>
      </c>
      <c r="K175" s="1609">
        <v>13500</v>
      </c>
      <c r="L175" s="1609">
        <v>16020</v>
      </c>
      <c r="M175" s="1609">
        <v>20160</v>
      </c>
      <c r="N175" s="1609">
        <v>24300</v>
      </c>
      <c r="O175" s="1609">
        <v>28440</v>
      </c>
      <c r="P175" s="1609">
        <v>32580</v>
      </c>
      <c r="Q175" s="1609">
        <v>36730</v>
      </c>
      <c r="R175" s="1609">
        <v>40890</v>
      </c>
      <c r="S175" s="1609">
        <v>35950</v>
      </c>
      <c r="T175" s="1609">
        <v>41050</v>
      </c>
      <c r="U175" s="1609">
        <v>46200</v>
      </c>
      <c r="V175" s="1609">
        <v>51300</v>
      </c>
      <c r="W175" s="1609">
        <v>55450</v>
      </c>
      <c r="X175" s="1609">
        <v>59550</v>
      </c>
      <c r="Y175" s="1609">
        <v>63650</v>
      </c>
      <c r="Z175" s="1609">
        <v>67750</v>
      </c>
    </row>
    <row r="176" spans="2:26">
      <c r="B176" s="1613" t="s">
        <v>571</v>
      </c>
      <c r="C176" s="1609">
        <v>22650</v>
      </c>
      <c r="D176" s="1609">
        <v>25850</v>
      </c>
      <c r="E176" s="1609">
        <v>29100</v>
      </c>
      <c r="F176" s="1609">
        <v>32300</v>
      </c>
      <c r="G176" s="1609">
        <v>34900</v>
      </c>
      <c r="H176" s="1609">
        <v>37500</v>
      </c>
      <c r="I176" s="1609">
        <v>40100</v>
      </c>
      <c r="J176" s="1609">
        <v>42650</v>
      </c>
      <c r="K176" s="1609">
        <v>13600</v>
      </c>
      <c r="L176" s="1609">
        <v>16020</v>
      </c>
      <c r="M176" s="1609">
        <v>20160</v>
      </c>
      <c r="N176" s="1609">
        <v>24300</v>
      </c>
      <c r="O176" s="1609">
        <v>28440</v>
      </c>
      <c r="P176" s="1609">
        <v>32580</v>
      </c>
      <c r="Q176" s="1609">
        <v>36730</v>
      </c>
      <c r="R176" s="1609">
        <v>40890</v>
      </c>
      <c r="S176" s="1609">
        <v>36200</v>
      </c>
      <c r="T176" s="1609">
        <v>41400</v>
      </c>
      <c r="U176" s="1609">
        <v>46550</v>
      </c>
      <c r="V176" s="1609">
        <v>51700</v>
      </c>
      <c r="W176" s="1609">
        <v>55850</v>
      </c>
      <c r="X176" s="1609">
        <v>60000</v>
      </c>
      <c r="Y176" s="1609">
        <v>64150</v>
      </c>
      <c r="Z176" s="1609">
        <v>68250</v>
      </c>
    </row>
    <row r="177" spans="2:26">
      <c r="B177" s="1613" t="s">
        <v>572</v>
      </c>
      <c r="C177" s="1609">
        <v>22450</v>
      </c>
      <c r="D177" s="1609">
        <v>25650</v>
      </c>
      <c r="E177" s="1609">
        <v>28850</v>
      </c>
      <c r="F177" s="1609">
        <v>32050</v>
      </c>
      <c r="G177" s="1609">
        <v>34650</v>
      </c>
      <c r="H177" s="1609">
        <v>37200</v>
      </c>
      <c r="I177" s="1609">
        <v>39750</v>
      </c>
      <c r="J177" s="1609">
        <v>42350</v>
      </c>
      <c r="K177" s="1609">
        <v>13500</v>
      </c>
      <c r="L177" s="1609">
        <v>16020</v>
      </c>
      <c r="M177" s="1609">
        <v>20160</v>
      </c>
      <c r="N177" s="1609">
        <v>24300</v>
      </c>
      <c r="O177" s="1609">
        <v>28440</v>
      </c>
      <c r="P177" s="1609">
        <v>32580</v>
      </c>
      <c r="Q177" s="1609">
        <v>36730</v>
      </c>
      <c r="R177" s="1609">
        <v>40890</v>
      </c>
      <c r="S177" s="1609">
        <v>35950</v>
      </c>
      <c r="T177" s="1609">
        <v>41050</v>
      </c>
      <c r="U177" s="1609">
        <v>46200</v>
      </c>
      <c r="V177" s="1609">
        <v>51300</v>
      </c>
      <c r="W177" s="1609">
        <v>55450</v>
      </c>
      <c r="X177" s="1609">
        <v>59550</v>
      </c>
      <c r="Y177" s="1609">
        <v>63650</v>
      </c>
      <c r="Z177" s="1609">
        <v>67750</v>
      </c>
    </row>
    <row r="178" spans="2:26">
      <c r="B178" s="1613" t="s">
        <v>573</v>
      </c>
      <c r="C178" s="1609">
        <v>22450</v>
      </c>
      <c r="D178" s="1609">
        <v>25650</v>
      </c>
      <c r="E178" s="1609">
        <v>28850</v>
      </c>
      <c r="F178" s="1609">
        <v>32050</v>
      </c>
      <c r="G178" s="1609">
        <v>34650</v>
      </c>
      <c r="H178" s="1609">
        <v>37200</v>
      </c>
      <c r="I178" s="1609">
        <v>39750</v>
      </c>
      <c r="J178" s="1609">
        <v>42350</v>
      </c>
      <c r="K178" s="1609">
        <v>13500</v>
      </c>
      <c r="L178" s="1609">
        <v>16020</v>
      </c>
      <c r="M178" s="1609">
        <v>20160</v>
      </c>
      <c r="N178" s="1609">
        <v>24300</v>
      </c>
      <c r="O178" s="1609">
        <v>28440</v>
      </c>
      <c r="P178" s="1609">
        <v>32580</v>
      </c>
      <c r="Q178" s="1609">
        <v>36730</v>
      </c>
      <c r="R178" s="1609">
        <v>40890</v>
      </c>
      <c r="S178" s="1609">
        <v>35950</v>
      </c>
      <c r="T178" s="1609">
        <v>41050</v>
      </c>
      <c r="U178" s="1609">
        <v>46200</v>
      </c>
      <c r="V178" s="1609">
        <v>51300</v>
      </c>
      <c r="W178" s="1609">
        <v>55450</v>
      </c>
      <c r="X178" s="1609">
        <v>59550</v>
      </c>
      <c r="Y178" s="1609">
        <v>63650</v>
      </c>
      <c r="Z178" s="1609">
        <v>67750</v>
      </c>
    </row>
    <row r="179" spans="2:26">
      <c r="B179" s="1613" t="s">
        <v>574</v>
      </c>
      <c r="C179" s="1609">
        <v>23100</v>
      </c>
      <c r="D179" s="1609">
        <v>26400</v>
      </c>
      <c r="E179" s="1609">
        <v>29700</v>
      </c>
      <c r="F179" s="1609">
        <v>33000</v>
      </c>
      <c r="G179" s="1609">
        <v>35650</v>
      </c>
      <c r="H179" s="1609">
        <v>38300</v>
      </c>
      <c r="I179" s="1609">
        <v>40950</v>
      </c>
      <c r="J179" s="1609">
        <v>43600</v>
      </c>
      <c r="K179" s="1609">
        <v>13900</v>
      </c>
      <c r="L179" s="1609">
        <v>16020</v>
      </c>
      <c r="M179" s="1609">
        <v>20160</v>
      </c>
      <c r="N179" s="1609">
        <v>24300</v>
      </c>
      <c r="O179" s="1609">
        <v>28440</v>
      </c>
      <c r="P179" s="1609">
        <v>32580</v>
      </c>
      <c r="Q179" s="1609">
        <v>36730</v>
      </c>
      <c r="R179" s="1609">
        <v>40890</v>
      </c>
      <c r="S179" s="1609">
        <v>37000</v>
      </c>
      <c r="T179" s="1609">
        <v>42250</v>
      </c>
      <c r="U179" s="1609">
        <v>47550</v>
      </c>
      <c r="V179" s="1609">
        <v>52800</v>
      </c>
      <c r="W179" s="1609">
        <v>57050</v>
      </c>
      <c r="X179" s="1609">
        <v>61250</v>
      </c>
      <c r="Y179" s="1609">
        <v>65500</v>
      </c>
      <c r="Z179" s="1609">
        <v>69700</v>
      </c>
    </row>
    <row r="180" spans="2:26">
      <c r="B180" s="1613" t="s">
        <v>575</v>
      </c>
      <c r="C180" s="1609">
        <v>25550</v>
      </c>
      <c r="D180" s="1609">
        <v>29200</v>
      </c>
      <c r="E180" s="1609">
        <v>32850</v>
      </c>
      <c r="F180" s="1609">
        <v>36500</v>
      </c>
      <c r="G180" s="1609">
        <v>39450</v>
      </c>
      <c r="H180" s="1609">
        <v>42350</v>
      </c>
      <c r="I180" s="1609">
        <v>45300</v>
      </c>
      <c r="J180" s="1609">
        <v>48200</v>
      </c>
      <c r="K180" s="1609">
        <v>15350</v>
      </c>
      <c r="L180" s="1609">
        <v>17550</v>
      </c>
      <c r="M180" s="1609">
        <v>20160</v>
      </c>
      <c r="N180" s="1609">
        <v>24300</v>
      </c>
      <c r="O180" s="1609">
        <v>28440</v>
      </c>
      <c r="P180" s="1609">
        <v>32580</v>
      </c>
      <c r="Q180" s="1609">
        <v>36730</v>
      </c>
      <c r="R180" s="1609">
        <v>40890</v>
      </c>
      <c r="S180" s="1609">
        <v>40900</v>
      </c>
      <c r="T180" s="1609">
        <v>46750</v>
      </c>
      <c r="U180" s="1609">
        <v>52600</v>
      </c>
      <c r="V180" s="1609">
        <v>58400</v>
      </c>
      <c r="W180" s="1609">
        <v>63100</v>
      </c>
      <c r="X180" s="1609">
        <v>67750</v>
      </c>
      <c r="Y180" s="1609">
        <v>72450</v>
      </c>
      <c r="Z180" s="1609">
        <v>77100</v>
      </c>
    </row>
    <row r="181" spans="2:26">
      <c r="B181" s="1613" t="s">
        <v>576</v>
      </c>
      <c r="C181" s="1609">
        <v>22650</v>
      </c>
      <c r="D181" s="1609">
        <v>25900</v>
      </c>
      <c r="E181" s="1609">
        <v>29150</v>
      </c>
      <c r="F181" s="1609">
        <v>32350</v>
      </c>
      <c r="G181" s="1609">
        <v>34950</v>
      </c>
      <c r="H181" s="1609">
        <v>37550</v>
      </c>
      <c r="I181" s="1609">
        <v>40150</v>
      </c>
      <c r="J181" s="1609">
        <v>42750</v>
      </c>
      <c r="K181" s="1609">
        <v>13600</v>
      </c>
      <c r="L181" s="1609">
        <v>16020</v>
      </c>
      <c r="M181" s="1609">
        <v>20160</v>
      </c>
      <c r="N181" s="1609">
        <v>24300</v>
      </c>
      <c r="O181" s="1609">
        <v>28440</v>
      </c>
      <c r="P181" s="1609">
        <v>32580</v>
      </c>
      <c r="Q181" s="1609">
        <v>36730</v>
      </c>
      <c r="R181" s="1609">
        <v>40890</v>
      </c>
      <c r="S181" s="1609">
        <v>36250</v>
      </c>
      <c r="T181" s="1609">
        <v>41400</v>
      </c>
      <c r="U181" s="1609">
        <v>46600</v>
      </c>
      <c r="V181" s="1609">
        <v>51750</v>
      </c>
      <c r="W181" s="1609">
        <v>55900</v>
      </c>
      <c r="X181" s="1609">
        <v>60050</v>
      </c>
      <c r="Y181" s="1609">
        <v>64200</v>
      </c>
      <c r="Z181" s="1609">
        <v>68350</v>
      </c>
    </row>
    <row r="182" spans="2:26">
      <c r="B182" s="1613" t="s">
        <v>577</v>
      </c>
      <c r="C182" s="1609">
        <v>22450</v>
      </c>
      <c r="D182" s="1609">
        <v>25650</v>
      </c>
      <c r="E182" s="1609">
        <v>28850</v>
      </c>
      <c r="F182" s="1609">
        <v>32050</v>
      </c>
      <c r="G182" s="1609">
        <v>34650</v>
      </c>
      <c r="H182" s="1609">
        <v>37200</v>
      </c>
      <c r="I182" s="1609">
        <v>39750</v>
      </c>
      <c r="J182" s="1609">
        <v>42350</v>
      </c>
      <c r="K182" s="1609">
        <v>13500</v>
      </c>
      <c r="L182" s="1609">
        <v>16020</v>
      </c>
      <c r="M182" s="1609">
        <v>20160</v>
      </c>
      <c r="N182" s="1609">
        <v>24300</v>
      </c>
      <c r="O182" s="1609">
        <v>28440</v>
      </c>
      <c r="P182" s="1609">
        <v>32580</v>
      </c>
      <c r="Q182" s="1609">
        <v>36730</v>
      </c>
      <c r="R182" s="1609">
        <v>40890</v>
      </c>
      <c r="S182" s="1609">
        <v>35950</v>
      </c>
      <c r="T182" s="1609">
        <v>41050</v>
      </c>
      <c r="U182" s="1609">
        <v>46200</v>
      </c>
      <c r="V182" s="1609">
        <v>51300</v>
      </c>
      <c r="W182" s="1609">
        <v>55450</v>
      </c>
      <c r="X182" s="1609">
        <v>59550</v>
      </c>
      <c r="Y182" s="1609">
        <v>63650</v>
      </c>
      <c r="Z182" s="1609">
        <v>67750</v>
      </c>
    </row>
    <row r="183" spans="2:26">
      <c r="B183" s="1613" t="s">
        <v>578</v>
      </c>
      <c r="C183" s="1609">
        <v>22450</v>
      </c>
      <c r="D183" s="1609">
        <v>25650</v>
      </c>
      <c r="E183" s="1609">
        <v>28850</v>
      </c>
      <c r="F183" s="1609">
        <v>32050</v>
      </c>
      <c r="G183" s="1609">
        <v>34650</v>
      </c>
      <c r="H183" s="1609">
        <v>37200</v>
      </c>
      <c r="I183" s="1609">
        <v>39750</v>
      </c>
      <c r="J183" s="1609">
        <v>42350</v>
      </c>
      <c r="K183" s="1609">
        <v>13500</v>
      </c>
      <c r="L183" s="1609">
        <v>16020</v>
      </c>
      <c r="M183" s="1609">
        <v>20160</v>
      </c>
      <c r="N183" s="1609">
        <v>24300</v>
      </c>
      <c r="O183" s="1609">
        <v>28440</v>
      </c>
      <c r="P183" s="1609">
        <v>32580</v>
      </c>
      <c r="Q183" s="1609">
        <v>36730</v>
      </c>
      <c r="R183" s="1609">
        <v>40890</v>
      </c>
      <c r="S183" s="1609">
        <v>35950</v>
      </c>
      <c r="T183" s="1609">
        <v>41050</v>
      </c>
      <c r="U183" s="1609">
        <v>46200</v>
      </c>
      <c r="V183" s="1609">
        <v>51300</v>
      </c>
      <c r="W183" s="1609">
        <v>55450</v>
      </c>
      <c r="X183" s="1609">
        <v>59550</v>
      </c>
      <c r="Y183" s="1609">
        <v>63650</v>
      </c>
      <c r="Z183" s="1609">
        <v>67750</v>
      </c>
    </row>
    <row r="184" spans="2:26">
      <c r="B184" s="1613" t="s">
        <v>579</v>
      </c>
      <c r="C184" s="1609">
        <v>22500</v>
      </c>
      <c r="D184" s="1609">
        <v>25700</v>
      </c>
      <c r="E184" s="1609">
        <v>28900</v>
      </c>
      <c r="F184" s="1609">
        <v>32100</v>
      </c>
      <c r="G184" s="1609">
        <v>34700</v>
      </c>
      <c r="H184" s="1609">
        <v>37250</v>
      </c>
      <c r="I184" s="1609">
        <v>39850</v>
      </c>
      <c r="J184" s="1609">
        <v>42400</v>
      </c>
      <c r="K184" s="1609">
        <v>13500</v>
      </c>
      <c r="L184" s="1609">
        <v>16020</v>
      </c>
      <c r="M184" s="1609">
        <v>20160</v>
      </c>
      <c r="N184" s="1609">
        <v>24300</v>
      </c>
      <c r="O184" s="1609">
        <v>28440</v>
      </c>
      <c r="P184" s="1609">
        <v>32580</v>
      </c>
      <c r="Q184" s="1609">
        <v>36730</v>
      </c>
      <c r="R184" s="1609">
        <v>40890</v>
      </c>
      <c r="S184" s="1609">
        <v>35950</v>
      </c>
      <c r="T184" s="1609">
        <v>41100</v>
      </c>
      <c r="U184" s="1609">
        <v>46250</v>
      </c>
      <c r="V184" s="1609">
        <v>51350</v>
      </c>
      <c r="W184" s="1609">
        <v>55500</v>
      </c>
      <c r="X184" s="1609">
        <v>59600</v>
      </c>
      <c r="Y184" s="1609">
        <v>63700</v>
      </c>
      <c r="Z184" s="1609">
        <v>67800</v>
      </c>
    </row>
    <row r="185" spans="2:26">
      <c r="B185" s="1613" t="s">
        <v>580</v>
      </c>
      <c r="C185" s="1609">
        <v>22450</v>
      </c>
      <c r="D185" s="1609">
        <v>25650</v>
      </c>
      <c r="E185" s="1609">
        <v>28850</v>
      </c>
      <c r="F185" s="1609">
        <v>32050</v>
      </c>
      <c r="G185" s="1609">
        <v>34650</v>
      </c>
      <c r="H185" s="1609">
        <v>37200</v>
      </c>
      <c r="I185" s="1609">
        <v>39750</v>
      </c>
      <c r="J185" s="1609">
        <v>42350</v>
      </c>
      <c r="K185" s="1609">
        <v>13500</v>
      </c>
      <c r="L185" s="1609">
        <v>16020</v>
      </c>
      <c r="M185" s="1609">
        <v>20160</v>
      </c>
      <c r="N185" s="1609">
        <v>24300</v>
      </c>
      <c r="O185" s="1609">
        <v>28440</v>
      </c>
      <c r="P185" s="1609">
        <v>32580</v>
      </c>
      <c r="Q185" s="1609">
        <v>36730</v>
      </c>
      <c r="R185" s="1609">
        <v>40890</v>
      </c>
      <c r="S185" s="1609">
        <v>35950</v>
      </c>
      <c r="T185" s="1609">
        <v>41050</v>
      </c>
      <c r="U185" s="1609">
        <v>46200</v>
      </c>
      <c r="V185" s="1609">
        <v>51300</v>
      </c>
      <c r="W185" s="1609">
        <v>55450</v>
      </c>
      <c r="X185" s="1609">
        <v>59550</v>
      </c>
      <c r="Y185" s="1609">
        <v>63650</v>
      </c>
      <c r="Z185" s="1609">
        <v>67750</v>
      </c>
    </row>
    <row r="186" spans="2:26">
      <c r="B186" s="1613" t="s">
        <v>581</v>
      </c>
      <c r="C186" s="1609">
        <v>23700</v>
      </c>
      <c r="D186" s="1609">
        <v>27050</v>
      </c>
      <c r="E186" s="1609">
        <v>30450</v>
      </c>
      <c r="F186" s="1609">
        <v>33800</v>
      </c>
      <c r="G186" s="1609">
        <v>36550</v>
      </c>
      <c r="H186" s="1609">
        <v>39250</v>
      </c>
      <c r="I186" s="1609">
        <v>41950</v>
      </c>
      <c r="J186" s="1609">
        <v>44650</v>
      </c>
      <c r="K186" s="1609">
        <v>14250</v>
      </c>
      <c r="L186" s="1609">
        <v>16250</v>
      </c>
      <c r="M186" s="1609">
        <v>20160</v>
      </c>
      <c r="N186" s="1609">
        <v>24300</v>
      </c>
      <c r="O186" s="1609">
        <v>28440</v>
      </c>
      <c r="P186" s="1609">
        <v>32580</v>
      </c>
      <c r="Q186" s="1609">
        <v>36730</v>
      </c>
      <c r="R186" s="1609">
        <v>40890</v>
      </c>
      <c r="S186" s="1609">
        <v>37900</v>
      </c>
      <c r="T186" s="1609">
        <v>43300</v>
      </c>
      <c r="U186" s="1609">
        <v>48700</v>
      </c>
      <c r="V186" s="1609">
        <v>54100</v>
      </c>
      <c r="W186" s="1609">
        <v>58450</v>
      </c>
      <c r="X186" s="1609">
        <v>62800</v>
      </c>
      <c r="Y186" s="1609">
        <v>67100</v>
      </c>
      <c r="Z186" s="1609">
        <v>71450</v>
      </c>
    </row>
    <row r="187" spans="2:26">
      <c r="B187" s="1613" t="s">
        <v>582</v>
      </c>
      <c r="C187" s="1609">
        <v>22450</v>
      </c>
      <c r="D187" s="1609">
        <v>25650</v>
      </c>
      <c r="E187" s="1609">
        <v>28850</v>
      </c>
      <c r="F187" s="1609">
        <v>32050</v>
      </c>
      <c r="G187" s="1609">
        <v>34650</v>
      </c>
      <c r="H187" s="1609">
        <v>37200</v>
      </c>
      <c r="I187" s="1609">
        <v>39750</v>
      </c>
      <c r="J187" s="1609">
        <v>42350</v>
      </c>
      <c r="K187" s="1609">
        <v>13500</v>
      </c>
      <c r="L187" s="1609">
        <v>16020</v>
      </c>
      <c r="M187" s="1609">
        <v>20160</v>
      </c>
      <c r="N187" s="1609">
        <v>24300</v>
      </c>
      <c r="O187" s="1609">
        <v>28440</v>
      </c>
      <c r="P187" s="1609">
        <v>32580</v>
      </c>
      <c r="Q187" s="1609">
        <v>36730</v>
      </c>
      <c r="R187" s="1609">
        <v>40890</v>
      </c>
      <c r="S187" s="1609">
        <v>35950</v>
      </c>
      <c r="T187" s="1609">
        <v>41050</v>
      </c>
      <c r="U187" s="1609">
        <v>46200</v>
      </c>
      <c r="V187" s="1609">
        <v>51300</v>
      </c>
      <c r="W187" s="1609">
        <v>55450</v>
      </c>
      <c r="X187" s="1609">
        <v>59550</v>
      </c>
      <c r="Y187" s="1609">
        <v>63650</v>
      </c>
      <c r="Z187" s="1609">
        <v>67750</v>
      </c>
    </row>
    <row r="188" spans="2:26">
      <c r="B188" s="1613" t="s">
        <v>583</v>
      </c>
      <c r="C188" s="1609">
        <v>22450</v>
      </c>
      <c r="D188" s="1609">
        <v>25650</v>
      </c>
      <c r="E188" s="1609">
        <v>28850</v>
      </c>
      <c r="F188" s="1609">
        <v>32050</v>
      </c>
      <c r="G188" s="1609">
        <v>34650</v>
      </c>
      <c r="H188" s="1609">
        <v>37200</v>
      </c>
      <c r="I188" s="1609">
        <v>39750</v>
      </c>
      <c r="J188" s="1609">
        <v>42350</v>
      </c>
      <c r="K188" s="1609">
        <v>13500</v>
      </c>
      <c r="L188" s="1609">
        <v>16020</v>
      </c>
      <c r="M188" s="1609">
        <v>20160</v>
      </c>
      <c r="N188" s="1609">
        <v>24300</v>
      </c>
      <c r="O188" s="1609">
        <v>28440</v>
      </c>
      <c r="P188" s="1609">
        <v>32580</v>
      </c>
      <c r="Q188" s="1609">
        <v>36730</v>
      </c>
      <c r="R188" s="1609">
        <v>40890</v>
      </c>
      <c r="S188" s="1609">
        <v>35950</v>
      </c>
      <c r="T188" s="1609">
        <v>41050</v>
      </c>
      <c r="U188" s="1609">
        <v>46200</v>
      </c>
      <c r="V188" s="1609">
        <v>51300</v>
      </c>
      <c r="W188" s="1609">
        <v>55450</v>
      </c>
      <c r="X188" s="1609">
        <v>59550</v>
      </c>
      <c r="Y188" s="1609">
        <v>63650</v>
      </c>
      <c r="Z188" s="1609">
        <v>67750</v>
      </c>
    </row>
    <row r="189" spans="2:26">
      <c r="B189" s="1613" t="s">
        <v>584</v>
      </c>
      <c r="C189" s="1609">
        <v>25550</v>
      </c>
      <c r="D189" s="1609">
        <v>29200</v>
      </c>
      <c r="E189" s="1609">
        <v>32850</v>
      </c>
      <c r="F189" s="1609">
        <v>36500</v>
      </c>
      <c r="G189" s="1609">
        <v>39450</v>
      </c>
      <c r="H189" s="1609">
        <v>42350</v>
      </c>
      <c r="I189" s="1609">
        <v>45300</v>
      </c>
      <c r="J189" s="1609">
        <v>48200</v>
      </c>
      <c r="K189" s="1609">
        <v>15350</v>
      </c>
      <c r="L189" s="1609">
        <v>17550</v>
      </c>
      <c r="M189" s="1609">
        <v>20160</v>
      </c>
      <c r="N189" s="1609">
        <v>24300</v>
      </c>
      <c r="O189" s="1609">
        <v>28440</v>
      </c>
      <c r="P189" s="1609">
        <v>32580</v>
      </c>
      <c r="Q189" s="1609">
        <v>36730</v>
      </c>
      <c r="R189" s="1609">
        <v>40890</v>
      </c>
      <c r="S189" s="1609">
        <v>40900</v>
      </c>
      <c r="T189" s="1609">
        <v>46750</v>
      </c>
      <c r="U189" s="1609">
        <v>52600</v>
      </c>
      <c r="V189" s="1609">
        <v>58400</v>
      </c>
      <c r="W189" s="1609">
        <v>63100</v>
      </c>
      <c r="X189" s="1609">
        <v>67750</v>
      </c>
      <c r="Y189" s="1609">
        <v>72450</v>
      </c>
      <c r="Z189" s="1609">
        <v>77100</v>
      </c>
    </row>
    <row r="190" spans="2:26">
      <c r="B190" s="1613" t="s">
        <v>585</v>
      </c>
      <c r="C190" s="1609">
        <v>22450</v>
      </c>
      <c r="D190" s="1609">
        <v>25650</v>
      </c>
      <c r="E190" s="1609">
        <v>28850</v>
      </c>
      <c r="F190" s="1609">
        <v>32050</v>
      </c>
      <c r="G190" s="1609">
        <v>34650</v>
      </c>
      <c r="H190" s="1609">
        <v>37200</v>
      </c>
      <c r="I190" s="1609">
        <v>39750</v>
      </c>
      <c r="J190" s="1609">
        <v>42350</v>
      </c>
      <c r="K190" s="1609">
        <v>13500</v>
      </c>
      <c r="L190" s="1609">
        <v>16020</v>
      </c>
      <c r="M190" s="1609">
        <v>20160</v>
      </c>
      <c r="N190" s="1609">
        <v>24300</v>
      </c>
      <c r="O190" s="1609">
        <v>28440</v>
      </c>
      <c r="P190" s="1609">
        <v>32580</v>
      </c>
      <c r="Q190" s="1609">
        <v>36730</v>
      </c>
      <c r="R190" s="1609">
        <v>40890</v>
      </c>
      <c r="S190" s="1609">
        <v>35950</v>
      </c>
      <c r="T190" s="1609">
        <v>41050</v>
      </c>
      <c r="U190" s="1609">
        <v>46200</v>
      </c>
      <c r="V190" s="1609">
        <v>51300</v>
      </c>
      <c r="W190" s="1609">
        <v>55450</v>
      </c>
      <c r="X190" s="1609">
        <v>59550</v>
      </c>
      <c r="Y190" s="1609">
        <v>63650</v>
      </c>
      <c r="Z190" s="1609">
        <v>67750</v>
      </c>
    </row>
    <row r="191" spans="2:26">
      <c r="B191" s="1613" t="s">
        <v>586</v>
      </c>
      <c r="C191" s="1609">
        <v>23250</v>
      </c>
      <c r="D191" s="1609">
        <v>26600</v>
      </c>
      <c r="E191" s="1609">
        <v>29900</v>
      </c>
      <c r="F191" s="1609">
        <v>33200</v>
      </c>
      <c r="G191" s="1609">
        <v>35900</v>
      </c>
      <c r="H191" s="1609">
        <v>38550</v>
      </c>
      <c r="I191" s="1609">
        <v>41200</v>
      </c>
      <c r="J191" s="1609">
        <v>43850</v>
      </c>
      <c r="K191" s="1609">
        <v>13950</v>
      </c>
      <c r="L191" s="1609">
        <v>16020</v>
      </c>
      <c r="M191" s="1609">
        <v>20160</v>
      </c>
      <c r="N191" s="1609">
        <v>24300</v>
      </c>
      <c r="O191" s="1609">
        <v>28440</v>
      </c>
      <c r="P191" s="1609">
        <v>32580</v>
      </c>
      <c r="Q191" s="1609">
        <v>36730</v>
      </c>
      <c r="R191" s="1609">
        <v>40890</v>
      </c>
      <c r="S191" s="1609">
        <v>37200</v>
      </c>
      <c r="T191" s="1609">
        <v>42500</v>
      </c>
      <c r="U191" s="1609">
        <v>47800</v>
      </c>
      <c r="V191" s="1609">
        <v>53100</v>
      </c>
      <c r="W191" s="1609">
        <v>57350</v>
      </c>
      <c r="X191" s="1609">
        <v>61600</v>
      </c>
      <c r="Y191" s="1609">
        <v>65850</v>
      </c>
      <c r="Z191" s="1609">
        <v>70100</v>
      </c>
    </row>
    <row r="192" spans="2:26">
      <c r="B192" s="1613" t="s">
        <v>587</v>
      </c>
      <c r="C192" s="1609">
        <v>25850</v>
      </c>
      <c r="D192" s="1609">
        <v>29550</v>
      </c>
      <c r="E192" s="1609">
        <v>33250</v>
      </c>
      <c r="F192" s="1609">
        <v>36900</v>
      </c>
      <c r="G192" s="1609">
        <v>39900</v>
      </c>
      <c r="H192" s="1609">
        <v>42850</v>
      </c>
      <c r="I192" s="1609">
        <v>45800</v>
      </c>
      <c r="J192" s="1609">
        <v>48750</v>
      </c>
      <c r="K192" s="1609">
        <v>15550</v>
      </c>
      <c r="L192" s="1609">
        <v>17750</v>
      </c>
      <c r="M192" s="1609">
        <v>20160</v>
      </c>
      <c r="N192" s="1609">
        <v>24300</v>
      </c>
      <c r="O192" s="1609">
        <v>28440</v>
      </c>
      <c r="P192" s="1609">
        <v>32580</v>
      </c>
      <c r="Q192" s="1609">
        <v>36730</v>
      </c>
      <c r="R192" s="1609">
        <v>40890</v>
      </c>
      <c r="S192" s="1609">
        <v>41350</v>
      </c>
      <c r="T192" s="1609">
        <v>47250</v>
      </c>
      <c r="U192" s="1609">
        <v>53150</v>
      </c>
      <c r="V192" s="1609">
        <v>59050</v>
      </c>
      <c r="W192" s="1609">
        <v>63800</v>
      </c>
      <c r="X192" s="1609">
        <v>68500</v>
      </c>
      <c r="Y192" s="1609">
        <v>73250</v>
      </c>
      <c r="Z192" s="1609">
        <v>77950</v>
      </c>
    </row>
    <row r="193" spans="2:26">
      <c r="B193" s="1613" t="s">
        <v>588</v>
      </c>
      <c r="C193" s="1609">
        <v>22450</v>
      </c>
      <c r="D193" s="1609">
        <v>25650</v>
      </c>
      <c r="E193" s="1609">
        <v>28850</v>
      </c>
      <c r="F193" s="1609">
        <v>32050</v>
      </c>
      <c r="G193" s="1609">
        <v>34650</v>
      </c>
      <c r="H193" s="1609">
        <v>37200</v>
      </c>
      <c r="I193" s="1609">
        <v>39750</v>
      </c>
      <c r="J193" s="1609">
        <v>42350</v>
      </c>
      <c r="K193" s="1609">
        <v>13500</v>
      </c>
      <c r="L193" s="1609">
        <v>16020</v>
      </c>
      <c r="M193" s="1609">
        <v>20160</v>
      </c>
      <c r="N193" s="1609">
        <v>24300</v>
      </c>
      <c r="O193" s="1609">
        <v>28440</v>
      </c>
      <c r="P193" s="1609">
        <v>32580</v>
      </c>
      <c r="Q193" s="1609">
        <v>36730</v>
      </c>
      <c r="R193" s="1609">
        <v>40890</v>
      </c>
      <c r="S193" s="1609">
        <v>35950</v>
      </c>
      <c r="T193" s="1609">
        <v>41050</v>
      </c>
      <c r="U193" s="1609">
        <v>46200</v>
      </c>
      <c r="V193" s="1609">
        <v>51300</v>
      </c>
      <c r="W193" s="1609">
        <v>55450</v>
      </c>
      <c r="X193" s="1609">
        <v>59550</v>
      </c>
      <c r="Y193" s="1609">
        <v>63650</v>
      </c>
      <c r="Z193" s="1609">
        <v>67750</v>
      </c>
    </row>
    <row r="194" spans="2:26">
      <c r="B194" s="1613" t="s">
        <v>589</v>
      </c>
      <c r="C194" s="1609">
        <v>22450</v>
      </c>
      <c r="D194" s="1609">
        <v>25650</v>
      </c>
      <c r="E194" s="1609">
        <v>28850</v>
      </c>
      <c r="F194" s="1609">
        <v>32050</v>
      </c>
      <c r="G194" s="1609">
        <v>34650</v>
      </c>
      <c r="H194" s="1609">
        <v>37200</v>
      </c>
      <c r="I194" s="1609">
        <v>39750</v>
      </c>
      <c r="J194" s="1609">
        <v>42350</v>
      </c>
      <c r="K194" s="1609">
        <v>13500</v>
      </c>
      <c r="L194" s="1609">
        <v>16020</v>
      </c>
      <c r="M194" s="1609">
        <v>20160</v>
      </c>
      <c r="N194" s="1609">
        <v>24300</v>
      </c>
      <c r="O194" s="1609">
        <v>28440</v>
      </c>
      <c r="P194" s="1609">
        <v>32580</v>
      </c>
      <c r="Q194" s="1609">
        <v>36730</v>
      </c>
      <c r="R194" s="1609">
        <v>40890</v>
      </c>
      <c r="S194" s="1609">
        <v>35950</v>
      </c>
      <c r="T194" s="1609">
        <v>41050</v>
      </c>
      <c r="U194" s="1609">
        <v>46200</v>
      </c>
      <c r="V194" s="1609">
        <v>51300</v>
      </c>
      <c r="W194" s="1609">
        <v>55450</v>
      </c>
      <c r="X194" s="1609">
        <v>59550</v>
      </c>
      <c r="Y194" s="1609">
        <v>63650</v>
      </c>
      <c r="Z194" s="1609">
        <v>67750</v>
      </c>
    </row>
    <row r="195" spans="2:26">
      <c r="B195" s="1613" t="s">
        <v>590</v>
      </c>
      <c r="C195" s="1609">
        <v>22450</v>
      </c>
      <c r="D195" s="1609">
        <v>25650</v>
      </c>
      <c r="E195" s="1609">
        <v>28850</v>
      </c>
      <c r="F195" s="1609">
        <v>32050</v>
      </c>
      <c r="G195" s="1609">
        <v>34650</v>
      </c>
      <c r="H195" s="1609">
        <v>37200</v>
      </c>
      <c r="I195" s="1609">
        <v>39750</v>
      </c>
      <c r="J195" s="1609">
        <v>42350</v>
      </c>
      <c r="K195" s="1609">
        <v>13500</v>
      </c>
      <c r="L195" s="1609">
        <v>16020</v>
      </c>
      <c r="M195" s="1609">
        <v>20160</v>
      </c>
      <c r="N195" s="1609">
        <v>24300</v>
      </c>
      <c r="O195" s="1609">
        <v>28440</v>
      </c>
      <c r="P195" s="1609">
        <v>32580</v>
      </c>
      <c r="Q195" s="1609">
        <v>36730</v>
      </c>
      <c r="R195" s="1609">
        <v>40890</v>
      </c>
      <c r="S195" s="1609">
        <v>35950</v>
      </c>
      <c r="T195" s="1609">
        <v>41050</v>
      </c>
      <c r="U195" s="1609">
        <v>46200</v>
      </c>
      <c r="V195" s="1609">
        <v>51300</v>
      </c>
      <c r="W195" s="1609">
        <v>55450</v>
      </c>
      <c r="X195" s="1609">
        <v>59550</v>
      </c>
      <c r="Y195" s="1609">
        <v>63650</v>
      </c>
      <c r="Z195" s="1609">
        <v>67750</v>
      </c>
    </row>
    <row r="196" spans="2:26">
      <c r="B196" s="1613" t="s">
        <v>591</v>
      </c>
      <c r="C196" s="1609">
        <v>34450</v>
      </c>
      <c r="D196" s="1609">
        <v>39400</v>
      </c>
      <c r="E196" s="1609">
        <v>44300</v>
      </c>
      <c r="F196" s="1609">
        <v>49200</v>
      </c>
      <c r="G196" s="1609">
        <v>53150</v>
      </c>
      <c r="H196" s="1609">
        <v>57100</v>
      </c>
      <c r="I196" s="1609">
        <v>61050</v>
      </c>
      <c r="J196" s="1609">
        <v>64950</v>
      </c>
      <c r="K196" s="1609">
        <v>20650</v>
      </c>
      <c r="L196" s="1609">
        <v>23600</v>
      </c>
      <c r="M196" s="1609">
        <v>26550</v>
      </c>
      <c r="N196" s="1609">
        <v>29500</v>
      </c>
      <c r="O196" s="1609">
        <v>31900</v>
      </c>
      <c r="P196" s="1609">
        <v>34250</v>
      </c>
      <c r="Q196" s="1609">
        <v>36730</v>
      </c>
      <c r="R196" s="1609">
        <v>40890</v>
      </c>
      <c r="S196" s="1609">
        <v>46000</v>
      </c>
      <c r="T196" s="1609">
        <v>52600</v>
      </c>
      <c r="U196" s="1609">
        <v>59150</v>
      </c>
      <c r="V196" s="1609">
        <v>65700</v>
      </c>
      <c r="W196" s="1609">
        <v>71000</v>
      </c>
      <c r="X196" s="1609">
        <v>76250</v>
      </c>
      <c r="Y196" s="1609">
        <v>81500</v>
      </c>
      <c r="Z196" s="1609">
        <v>86750</v>
      </c>
    </row>
    <row r="197" spans="2:26">
      <c r="B197" s="1613" t="s">
        <v>592</v>
      </c>
      <c r="C197" s="1609">
        <v>23950</v>
      </c>
      <c r="D197" s="1609">
        <v>27400</v>
      </c>
      <c r="E197" s="1609">
        <v>30800</v>
      </c>
      <c r="F197" s="1609">
        <v>34200</v>
      </c>
      <c r="G197" s="1609">
        <v>36950</v>
      </c>
      <c r="H197" s="1609">
        <v>39700</v>
      </c>
      <c r="I197" s="1609">
        <v>42450</v>
      </c>
      <c r="J197" s="1609">
        <v>45150</v>
      </c>
      <c r="K197" s="1609">
        <v>14350</v>
      </c>
      <c r="L197" s="1609">
        <v>16400</v>
      </c>
      <c r="M197" s="1609">
        <v>20160</v>
      </c>
      <c r="N197" s="1609">
        <v>24300</v>
      </c>
      <c r="O197" s="1609">
        <v>28440</v>
      </c>
      <c r="P197" s="1609">
        <v>32580</v>
      </c>
      <c r="Q197" s="1609">
        <v>36730</v>
      </c>
      <c r="R197" s="1609">
        <v>40890</v>
      </c>
      <c r="S197" s="1609">
        <v>38350</v>
      </c>
      <c r="T197" s="1609">
        <v>43800</v>
      </c>
      <c r="U197" s="1609">
        <v>49300</v>
      </c>
      <c r="V197" s="1609">
        <v>54750</v>
      </c>
      <c r="W197" s="1609">
        <v>59150</v>
      </c>
      <c r="X197" s="1609">
        <v>63550</v>
      </c>
      <c r="Y197" s="1609">
        <v>67900</v>
      </c>
      <c r="Z197" s="1609">
        <v>72300</v>
      </c>
    </row>
    <row r="198" spans="2:26">
      <c r="B198" s="1613" t="s">
        <v>593</v>
      </c>
      <c r="C198" s="1609">
        <v>23700</v>
      </c>
      <c r="D198" s="1609">
        <v>27100</v>
      </c>
      <c r="E198" s="1609">
        <v>30500</v>
      </c>
      <c r="F198" s="1609">
        <v>33850</v>
      </c>
      <c r="G198" s="1609">
        <v>36600</v>
      </c>
      <c r="H198" s="1609">
        <v>39300</v>
      </c>
      <c r="I198" s="1609">
        <v>42000</v>
      </c>
      <c r="J198" s="1609">
        <v>44700</v>
      </c>
      <c r="K198" s="1609">
        <v>14250</v>
      </c>
      <c r="L198" s="1609">
        <v>16250</v>
      </c>
      <c r="M198" s="1609">
        <v>20160</v>
      </c>
      <c r="N198" s="1609">
        <v>24300</v>
      </c>
      <c r="O198" s="1609">
        <v>28440</v>
      </c>
      <c r="P198" s="1609">
        <v>32580</v>
      </c>
      <c r="Q198" s="1609">
        <v>36730</v>
      </c>
      <c r="R198" s="1609">
        <v>40890</v>
      </c>
      <c r="S198" s="1609">
        <v>37950</v>
      </c>
      <c r="T198" s="1609">
        <v>43350</v>
      </c>
      <c r="U198" s="1609">
        <v>48750</v>
      </c>
      <c r="V198" s="1609">
        <v>54150</v>
      </c>
      <c r="W198" s="1609">
        <v>58500</v>
      </c>
      <c r="X198" s="1609">
        <v>62850</v>
      </c>
      <c r="Y198" s="1609">
        <v>67150</v>
      </c>
      <c r="Z198" s="1609">
        <v>71500</v>
      </c>
    </row>
    <row r="199" spans="2:26">
      <c r="B199" s="1613" t="s">
        <v>594</v>
      </c>
      <c r="C199" s="1609">
        <v>23700</v>
      </c>
      <c r="D199" s="1609">
        <v>27050</v>
      </c>
      <c r="E199" s="1609">
        <v>30450</v>
      </c>
      <c r="F199" s="1609">
        <v>33800</v>
      </c>
      <c r="G199" s="1609">
        <v>36550</v>
      </c>
      <c r="H199" s="1609">
        <v>39250</v>
      </c>
      <c r="I199" s="1609">
        <v>41950</v>
      </c>
      <c r="J199" s="1609">
        <v>44650</v>
      </c>
      <c r="K199" s="1609">
        <v>14250</v>
      </c>
      <c r="L199" s="1609">
        <v>16250</v>
      </c>
      <c r="M199" s="1609">
        <v>20160</v>
      </c>
      <c r="N199" s="1609">
        <v>24300</v>
      </c>
      <c r="O199" s="1609">
        <v>28440</v>
      </c>
      <c r="P199" s="1609">
        <v>32580</v>
      </c>
      <c r="Q199" s="1609">
        <v>36730</v>
      </c>
      <c r="R199" s="1609">
        <v>40890</v>
      </c>
      <c r="S199" s="1609">
        <v>37900</v>
      </c>
      <c r="T199" s="1609">
        <v>43300</v>
      </c>
      <c r="U199" s="1609">
        <v>48700</v>
      </c>
      <c r="V199" s="1609">
        <v>54100</v>
      </c>
      <c r="W199" s="1609">
        <v>58450</v>
      </c>
      <c r="X199" s="1609">
        <v>62800</v>
      </c>
      <c r="Y199" s="1609">
        <v>67100</v>
      </c>
      <c r="Z199" s="1609">
        <v>71450</v>
      </c>
    </row>
    <row r="200" spans="2:26">
      <c r="B200" s="1613" t="s">
        <v>595</v>
      </c>
      <c r="C200" s="1609">
        <v>25300</v>
      </c>
      <c r="D200" s="1609">
        <v>28900</v>
      </c>
      <c r="E200" s="1609">
        <v>32500</v>
      </c>
      <c r="F200" s="1609">
        <v>36100</v>
      </c>
      <c r="G200" s="1609">
        <v>39000</v>
      </c>
      <c r="H200" s="1609">
        <v>41900</v>
      </c>
      <c r="I200" s="1609">
        <v>44800</v>
      </c>
      <c r="J200" s="1609">
        <v>47700</v>
      </c>
      <c r="K200" s="1609">
        <v>15200</v>
      </c>
      <c r="L200" s="1609">
        <v>17350</v>
      </c>
      <c r="M200" s="1609">
        <v>20160</v>
      </c>
      <c r="N200" s="1609">
        <v>24300</v>
      </c>
      <c r="O200" s="1609">
        <v>28440</v>
      </c>
      <c r="P200" s="1609">
        <v>32580</v>
      </c>
      <c r="Q200" s="1609">
        <v>36730</v>
      </c>
      <c r="R200" s="1609">
        <v>40890</v>
      </c>
      <c r="S200" s="1609">
        <v>40450</v>
      </c>
      <c r="T200" s="1609">
        <v>46200</v>
      </c>
      <c r="U200" s="1609">
        <v>52000</v>
      </c>
      <c r="V200" s="1609">
        <v>57750</v>
      </c>
      <c r="W200" s="1609">
        <v>62400</v>
      </c>
      <c r="X200" s="1609">
        <v>67000</v>
      </c>
      <c r="Y200" s="1609">
        <v>71650</v>
      </c>
      <c r="Z200" s="1609">
        <v>76250</v>
      </c>
    </row>
    <row r="201" spans="2:26">
      <c r="B201" s="1613" t="s">
        <v>596</v>
      </c>
      <c r="C201" s="1609">
        <v>22450</v>
      </c>
      <c r="D201" s="1609">
        <v>25650</v>
      </c>
      <c r="E201" s="1609">
        <v>28850</v>
      </c>
      <c r="F201" s="1609">
        <v>32050</v>
      </c>
      <c r="G201" s="1609">
        <v>34650</v>
      </c>
      <c r="H201" s="1609">
        <v>37200</v>
      </c>
      <c r="I201" s="1609">
        <v>39750</v>
      </c>
      <c r="J201" s="1609">
        <v>42350</v>
      </c>
      <c r="K201" s="1609">
        <v>13500</v>
      </c>
      <c r="L201" s="1609">
        <v>16020</v>
      </c>
      <c r="M201" s="1609">
        <v>20160</v>
      </c>
      <c r="N201" s="1609">
        <v>24300</v>
      </c>
      <c r="O201" s="1609">
        <v>28440</v>
      </c>
      <c r="P201" s="1609">
        <v>32580</v>
      </c>
      <c r="Q201" s="1609">
        <v>36730</v>
      </c>
      <c r="R201" s="1609">
        <v>40890</v>
      </c>
      <c r="S201" s="1609">
        <v>35950</v>
      </c>
      <c r="T201" s="1609">
        <v>41050</v>
      </c>
      <c r="U201" s="1609">
        <v>46200</v>
      </c>
      <c r="V201" s="1609">
        <v>51300</v>
      </c>
      <c r="W201" s="1609">
        <v>55450</v>
      </c>
      <c r="X201" s="1609">
        <v>59550</v>
      </c>
      <c r="Y201" s="1609">
        <v>63650</v>
      </c>
      <c r="Z201" s="1609">
        <v>67750</v>
      </c>
    </row>
    <row r="202" spans="2:26">
      <c r="B202" s="1613" t="s">
        <v>597</v>
      </c>
      <c r="C202" s="1609">
        <v>22450</v>
      </c>
      <c r="D202" s="1609">
        <v>25650</v>
      </c>
      <c r="E202" s="1609">
        <v>28850</v>
      </c>
      <c r="F202" s="1609">
        <v>32050</v>
      </c>
      <c r="G202" s="1609">
        <v>34650</v>
      </c>
      <c r="H202" s="1609">
        <v>37200</v>
      </c>
      <c r="I202" s="1609">
        <v>39750</v>
      </c>
      <c r="J202" s="1609">
        <v>42350</v>
      </c>
      <c r="K202" s="1609">
        <v>13500</v>
      </c>
      <c r="L202" s="1609">
        <v>16020</v>
      </c>
      <c r="M202" s="1609">
        <v>20160</v>
      </c>
      <c r="N202" s="1609">
        <v>24300</v>
      </c>
      <c r="O202" s="1609">
        <v>28440</v>
      </c>
      <c r="P202" s="1609">
        <v>32580</v>
      </c>
      <c r="Q202" s="1609">
        <v>36730</v>
      </c>
      <c r="R202" s="1609">
        <v>40890</v>
      </c>
      <c r="S202" s="1609">
        <v>35950</v>
      </c>
      <c r="T202" s="1609">
        <v>41050</v>
      </c>
      <c r="U202" s="1609">
        <v>46200</v>
      </c>
      <c r="V202" s="1609">
        <v>51300</v>
      </c>
      <c r="W202" s="1609">
        <v>55450</v>
      </c>
      <c r="X202" s="1609">
        <v>59550</v>
      </c>
      <c r="Y202" s="1609">
        <v>63650</v>
      </c>
      <c r="Z202" s="1609">
        <v>67750</v>
      </c>
    </row>
    <row r="203" spans="2:26">
      <c r="B203" s="1613" t="s">
        <v>598</v>
      </c>
      <c r="C203" s="1609">
        <v>25550</v>
      </c>
      <c r="D203" s="1609">
        <v>29200</v>
      </c>
      <c r="E203" s="1609">
        <v>32850</v>
      </c>
      <c r="F203" s="1609">
        <v>36500</v>
      </c>
      <c r="G203" s="1609">
        <v>39450</v>
      </c>
      <c r="H203" s="1609">
        <v>42350</v>
      </c>
      <c r="I203" s="1609">
        <v>45300</v>
      </c>
      <c r="J203" s="1609">
        <v>48200</v>
      </c>
      <c r="K203" s="1609">
        <v>15350</v>
      </c>
      <c r="L203" s="1609">
        <v>17550</v>
      </c>
      <c r="M203" s="1609">
        <v>20160</v>
      </c>
      <c r="N203" s="1609">
        <v>24300</v>
      </c>
      <c r="O203" s="1609">
        <v>28440</v>
      </c>
      <c r="P203" s="1609">
        <v>32580</v>
      </c>
      <c r="Q203" s="1609">
        <v>36730</v>
      </c>
      <c r="R203" s="1609">
        <v>40890</v>
      </c>
      <c r="S203" s="1609">
        <v>40900</v>
      </c>
      <c r="T203" s="1609">
        <v>46750</v>
      </c>
      <c r="U203" s="1609">
        <v>52600</v>
      </c>
      <c r="V203" s="1609">
        <v>58400</v>
      </c>
      <c r="W203" s="1609">
        <v>63100</v>
      </c>
      <c r="X203" s="1609">
        <v>67750</v>
      </c>
      <c r="Y203" s="1609">
        <v>72450</v>
      </c>
      <c r="Z203" s="1609">
        <v>77100</v>
      </c>
    </row>
    <row r="204" spans="2:26">
      <c r="B204" s="1613" t="s">
        <v>599</v>
      </c>
      <c r="C204" s="1609">
        <v>19500</v>
      </c>
      <c r="D204" s="1609">
        <v>22250</v>
      </c>
      <c r="E204" s="1609">
        <v>25050</v>
      </c>
      <c r="F204" s="1609">
        <v>27800</v>
      </c>
      <c r="G204" s="1609">
        <v>30050</v>
      </c>
      <c r="H204" s="1609">
        <v>32250</v>
      </c>
      <c r="I204" s="1609">
        <v>34500</v>
      </c>
      <c r="J204" s="1609">
        <v>36700</v>
      </c>
      <c r="K204" s="1609">
        <v>11880</v>
      </c>
      <c r="L204" s="1609">
        <v>16020</v>
      </c>
      <c r="M204" s="1609">
        <v>20160</v>
      </c>
      <c r="N204" s="1609">
        <v>24300</v>
      </c>
      <c r="O204" s="1609">
        <v>28440</v>
      </c>
      <c r="P204" s="1609">
        <v>32250</v>
      </c>
      <c r="Q204" s="1609">
        <v>34500</v>
      </c>
      <c r="R204" s="1609">
        <v>36700</v>
      </c>
      <c r="S204" s="1609">
        <v>31150</v>
      </c>
      <c r="T204" s="1609">
        <v>35600</v>
      </c>
      <c r="U204" s="1609">
        <v>40050</v>
      </c>
      <c r="V204" s="1609">
        <v>44500</v>
      </c>
      <c r="W204" s="1609">
        <v>48100</v>
      </c>
      <c r="X204" s="1609">
        <v>51650</v>
      </c>
      <c r="Y204" s="1609">
        <v>55200</v>
      </c>
      <c r="Z204" s="1609">
        <v>58750</v>
      </c>
    </row>
    <row r="205" spans="2:26">
      <c r="B205" s="1613" t="s">
        <v>600</v>
      </c>
      <c r="C205" s="1609">
        <v>20800</v>
      </c>
      <c r="D205" s="1609">
        <v>23800</v>
      </c>
      <c r="E205" s="1609">
        <v>26750</v>
      </c>
      <c r="F205" s="1609">
        <v>29700</v>
      </c>
      <c r="G205" s="1609">
        <v>32100</v>
      </c>
      <c r="H205" s="1609">
        <v>34500</v>
      </c>
      <c r="I205" s="1609">
        <v>36850</v>
      </c>
      <c r="J205" s="1609">
        <v>39250</v>
      </c>
      <c r="K205" s="1609">
        <v>12500</v>
      </c>
      <c r="L205" s="1609">
        <v>16020</v>
      </c>
      <c r="M205" s="1609">
        <v>20160</v>
      </c>
      <c r="N205" s="1609">
        <v>24300</v>
      </c>
      <c r="O205" s="1609">
        <v>28440</v>
      </c>
      <c r="P205" s="1609">
        <v>32580</v>
      </c>
      <c r="Q205" s="1609">
        <v>36730</v>
      </c>
      <c r="R205" s="1609">
        <v>39250</v>
      </c>
      <c r="S205" s="1609">
        <v>33250</v>
      </c>
      <c r="T205" s="1609">
        <v>38000</v>
      </c>
      <c r="U205" s="1609">
        <v>42750</v>
      </c>
      <c r="V205" s="1609">
        <v>47500</v>
      </c>
      <c r="W205" s="1609">
        <v>51300</v>
      </c>
      <c r="X205" s="1609">
        <v>55100</v>
      </c>
      <c r="Y205" s="1609">
        <v>58900</v>
      </c>
      <c r="Z205" s="1609">
        <v>62700</v>
      </c>
    </row>
    <row r="206" spans="2:26">
      <c r="B206" s="1613" t="s">
        <v>601</v>
      </c>
      <c r="C206" s="1609">
        <v>23400</v>
      </c>
      <c r="D206" s="1609">
        <v>26750</v>
      </c>
      <c r="E206" s="1609">
        <v>30100</v>
      </c>
      <c r="F206" s="1609">
        <v>33400</v>
      </c>
      <c r="G206" s="1609">
        <v>36100</v>
      </c>
      <c r="H206" s="1609">
        <v>38750</v>
      </c>
      <c r="I206" s="1609">
        <v>41450</v>
      </c>
      <c r="J206" s="1609">
        <v>44100</v>
      </c>
      <c r="K206" s="1609">
        <v>14050</v>
      </c>
      <c r="L206" s="1609">
        <v>16050</v>
      </c>
      <c r="M206" s="1609">
        <v>20160</v>
      </c>
      <c r="N206" s="1609">
        <v>24300</v>
      </c>
      <c r="O206" s="1609">
        <v>28440</v>
      </c>
      <c r="P206" s="1609">
        <v>32580</v>
      </c>
      <c r="Q206" s="1609">
        <v>36730</v>
      </c>
      <c r="R206" s="1609">
        <v>40890</v>
      </c>
      <c r="S206" s="1609">
        <v>37450</v>
      </c>
      <c r="T206" s="1609">
        <v>42800</v>
      </c>
      <c r="U206" s="1609">
        <v>48150</v>
      </c>
      <c r="V206" s="1609">
        <v>53450</v>
      </c>
      <c r="W206" s="1609">
        <v>57750</v>
      </c>
      <c r="X206" s="1609">
        <v>62050</v>
      </c>
      <c r="Y206" s="1609">
        <v>66300</v>
      </c>
      <c r="Z206" s="1609">
        <v>70600</v>
      </c>
    </row>
    <row r="207" spans="2:26">
      <c r="B207" s="1613" t="s">
        <v>602</v>
      </c>
      <c r="C207" s="1609">
        <v>21250</v>
      </c>
      <c r="D207" s="1609">
        <v>24300</v>
      </c>
      <c r="E207" s="1609">
        <v>27350</v>
      </c>
      <c r="F207" s="1609">
        <v>30350</v>
      </c>
      <c r="G207" s="1609">
        <v>32800</v>
      </c>
      <c r="H207" s="1609">
        <v>35250</v>
      </c>
      <c r="I207" s="1609">
        <v>37650</v>
      </c>
      <c r="J207" s="1609">
        <v>40100</v>
      </c>
      <c r="K207" s="1609">
        <v>12750</v>
      </c>
      <c r="L207" s="1609">
        <v>16020</v>
      </c>
      <c r="M207" s="1609">
        <v>20160</v>
      </c>
      <c r="N207" s="1609">
        <v>24300</v>
      </c>
      <c r="O207" s="1609">
        <v>28440</v>
      </c>
      <c r="P207" s="1609">
        <v>32580</v>
      </c>
      <c r="Q207" s="1609">
        <v>36730</v>
      </c>
      <c r="R207" s="1609">
        <v>40100</v>
      </c>
      <c r="S207" s="1609">
        <v>34000</v>
      </c>
      <c r="T207" s="1609">
        <v>38850</v>
      </c>
      <c r="U207" s="1609">
        <v>43700</v>
      </c>
      <c r="V207" s="1609">
        <v>48550</v>
      </c>
      <c r="W207" s="1609">
        <v>52450</v>
      </c>
      <c r="X207" s="1609">
        <v>56350</v>
      </c>
      <c r="Y207" s="1609">
        <v>60250</v>
      </c>
      <c r="Z207" s="1609">
        <v>64100</v>
      </c>
    </row>
    <row r="208" spans="2:26">
      <c r="B208" s="1613" t="s">
        <v>603</v>
      </c>
      <c r="C208" s="1609">
        <v>20450</v>
      </c>
      <c r="D208" s="1609">
        <v>23350</v>
      </c>
      <c r="E208" s="1609">
        <v>26250</v>
      </c>
      <c r="F208" s="1609">
        <v>29150</v>
      </c>
      <c r="G208" s="1609">
        <v>31500</v>
      </c>
      <c r="H208" s="1609">
        <v>33850</v>
      </c>
      <c r="I208" s="1609">
        <v>36150</v>
      </c>
      <c r="J208" s="1609">
        <v>38500</v>
      </c>
      <c r="K208" s="1609">
        <v>12250</v>
      </c>
      <c r="L208" s="1609">
        <v>16020</v>
      </c>
      <c r="M208" s="1609">
        <v>20160</v>
      </c>
      <c r="N208" s="1609">
        <v>24300</v>
      </c>
      <c r="O208" s="1609">
        <v>28440</v>
      </c>
      <c r="P208" s="1609">
        <v>32580</v>
      </c>
      <c r="Q208" s="1609">
        <v>36150</v>
      </c>
      <c r="R208" s="1609">
        <v>38500</v>
      </c>
      <c r="S208" s="1609">
        <v>32700</v>
      </c>
      <c r="T208" s="1609">
        <v>37350</v>
      </c>
      <c r="U208" s="1609">
        <v>42000</v>
      </c>
      <c r="V208" s="1609">
        <v>46650</v>
      </c>
      <c r="W208" s="1609">
        <v>50400</v>
      </c>
      <c r="X208" s="1609">
        <v>54150</v>
      </c>
      <c r="Y208" s="1609">
        <v>57850</v>
      </c>
      <c r="Z208" s="1609">
        <v>61600</v>
      </c>
    </row>
    <row r="209" spans="2:26">
      <c r="B209" s="1613" t="s">
        <v>604</v>
      </c>
      <c r="C209" s="1609">
        <v>25700</v>
      </c>
      <c r="D209" s="1609">
        <v>29350</v>
      </c>
      <c r="E209" s="1609">
        <v>33000</v>
      </c>
      <c r="F209" s="1609">
        <v>36650</v>
      </c>
      <c r="G209" s="1609">
        <v>39600</v>
      </c>
      <c r="H209" s="1609">
        <v>42550</v>
      </c>
      <c r="I209" s="1609">
        <v>45450</v>
      </c>
      <c r="J209" s="1609">
        <v>48400</v>
      </c>
      <c r="K209" s="1609">
        <v>15400</v>
      </c>
      <c r="L209" s="1609">
        <v>17600</v>
      </c>
      <c r="M209" s="1609">
        <v>20160</v>
      </c>
      <c r="N209" s="1609">
        <v>24300</v>
      </c>
      <c r="O209" s="1609">
        <v>28440</v>
      </c>
      <c r="P209" s="1609">
        <v>32580</v>
      </c>
      <c r="Q209" s="1609">
        <v>36730</v>
      </c>
      <c r="R209" s="1609">
        <v>40890</v>
      </c>
      <c r="S209" s="1609">
        <v>41100</v>
      </c>
      <c r="T209" s="1609">
        <v>46950</v>
      </c>
      <c r="U209" s="1609">
        <v>52800</v>
      </c>
      <c r="V209" s="1609">
        <v>58650</v>
      </c>
      <c r="W209" s="1609">
        <v>63350</v>
      </c>
      <c r="X209" s="1609">
        <v>68050</v>
      </c>
      <c r="Y209" s="1609">
        <v>72750</v>
      </c>
      <c r="Z209" s="1609">
        <v>77450</v>
      </c>
    </row>
    <row r="210" spans="2:26">
      <c r="B210" s="1613" t="s">
        <v>605</v>
      </c>
      <c r="C210" s="1609">
        <v>19850</v>
      </c>
      <c r="D210" s="1609">
        <v>22650</v>
      </c>
      <c r="E210" s="1609">
        <v>25500</v>
      </c>
      <c r="F210" s="1609">
        <v>28300</v>
      </c>
      <c r="G210" s="1609">
        <v>30600</v>
      </c>
      <c r="H210" s="1609">
        <v>32850</v>
      </c>
      <c r="I210" s="1609">
        <v>35100</v>
      </c>
      <c r="J210" s="1609">
        <v>37400</v>
      </c>
      <c r="K210" s="1609">
        <v>11900</v>
      </c>
      <c r="L210" s="1609">
        <v>16020</v>
      </c>
      <c r="M210" s="1609">
        <v>20160</v>
      </c>
      <c r="N210" s="1609">
        <v>24300</v>
      </c>
      <c r="O210" s="1609">
        <v>28440</v>
      </c>
      <c r="P210" s="1609">
        <v>32580</v>
      </c>
      <c r="Q210" s="1609">
        <v>35100</v>
      </c>
      <c r="R210" s="1609">
        <v>37400</v>
      </c>
      <c r="S210" s="1609">
        <v>31750</v>
      </c>
      <c r="T210" s="1609">
        <v>36250</v>
      </c>
      <c r="U210" s="1609">
        <v>40800</v>
      </c>
      <c r="V210" s="1609">
        <v>45300</v>
      </c>
      <c r="W210" s="1609">
        <v>48950</v>
      </c>
      <c r="X210" s="1609">
        <v>52550</v>
      </c>
      <c r="Y210" s="1609">
        <v>56200</v>
      </c>
      <c r="Z210" s="1609">
        <v>59800</v>
      </c>
    </row>
    <row r="211" spans="2:26">
      <c r="B211" s="1613" t="s">
        <v>606</v>
      </c>
      <c r="C211" s="1609">
        <v>21350</v>
      </c>
      <c r="D211" s="1609">
        <v>24400</v>
      </c>
      <c r="E211" s="1609">
        <v>27450</v>
      </c>
      <c r="F211" s="1609">
        <v>30500</v>
      </c>
      <c r="G211" s="1609">
        <v>32950</v>
      </c>
      <c r="H211" s="1609">
        <v>35400</v>
      </c>
      <c r="I211" s="1609">
        <v>37850</v>
      </c>
      <c r="J211" s="1609">
        <v>40300</v>
      </c>
      <c r="K211" s="1609">
        <v>12850</v>
      </c>
      <c r="L211" s="1609">
        <v>16020</v>
      </c>
      <c r="M211" s="1609">
        <v>20160</v>
      </c>
      <c r="N211" s="1609">
        <v>24300</v>
      </c>
      <c r="O211" s="1609">
        <v>28440</v>
      </c>
      <c r="P211" s="1609">
        <v>32580</v>
      </c>
      <c r="Q211" s="1609">
        <v>36730</v>
      </c>
      <c r="R211" s="1609">
        <v>40300</v>
      </c>
      <c r="S211" s="1609">
        <v>34200</v>
      </c>
      <c r="T211" s="1609">
        <v>39050</v>
      </c>
      <c r="U211" s="1609">
        <v>43950</v>
      </c>
      <c r="V211" s="1609">
        <v>48800</v>
      </c>
      <c r="W211" s="1609">
        <v>52750</v>
      </c>
      <c r="X211" s="1609">
        <v>56650</v>
      </c>
      <c r="Y211" s="1609">
        <v>60550</v>
      </c>
      <c r="Z211" s="1609">
        <v>64450</v>
      </c>
    </row>
    <row r="212" spans="2:26">
      <c r="B212" s="1613" t="s">
        <v>607</v>
      </c>
      <c r="C212" s="1609">
        <v>21250</v>
      </c>
      <c r="D212" s="1609">
        <v>24300</v>
      </c>
      <c r="E212" s="1609">
        <v>27350</v>
      </c>
      <c r="F212" s="1609">
        <v>30350</v>
      </c>
      <c r="G212" s="1609">
        <v>32800</v>
      </c>
      <c r="H212" s="1609">
        <v>35250</v>
      </c>
      <c r="I212" s="1609">
        <v>37650</v>
      </c>
      <c r="J212" s="1609">
        <v>40100</v>
      </c>
      <c r="K212" s="1609">
        <v>12750</v>
      </c>
      <c r="L212" s="1609">
        <v>16020</v>
      </c>
      <c r="M212" s="1609">
        <v>20160</v>
      </c>
      <c r="N212" s="1609">
        <v>24300</v>
      </c>
      <c r="O212" s="1609">
        <v>28440</v>
      </c>
      <c r="P212" s="1609">
        <v>32580</v>
      </c>
      <c r="Q212" s="1609">
        <v>36730</v>
      </c>
      <c r="R212" s="1609">
        <v>40100</v>
      </c>
      <c r="S212" s="1609">
        <v>34000</v>
      </c>
      <c r="T212" s="1609">
        <v>38850</v>
      </c>
      <c r="U212" s="1609">
        <v>43700</v>
      </c>
      <c r="V212" s="1609">
        <v>48550</v>
      </c>
      <c r="W212" s="1609">
        <v>52450</v>
      </c>
      <c r="X212" s="1609">
        <v>56350</v>
      </c>
      <c r="Y212" s="1609">
        <v>60250</v>
      </c>
      <c r="Z212" s="1609">
        <v>64100</v>
      </c>
    </row>
    <row r="213" spans="2:26">
      <c r="B213" s="1613" t="s">
        <v>608</v>
      </c>
      <c r="C213" s="1609">
        <v>19500</v>
      </c>
      <c r="D213" s="1609">
        <v>22250</v>
      </c>
      <c r="E213" s="1609">
        <v>25050</v>
      </c>
      <c r="F213" s="1609">
        <v>27800</v>
      </c>
      <c r="G213" s="1609">
        <v>30050</v>
      </c>
      <c r="H213" s="1609">
        <v>32250</v>
      </c>
      <c r="I213" s="1609">
        <v>34500</v>
      </c>
      <c r="J213" s="1609">
        <v>36700</v>
      </c>
      <c r="K213" s="1609">
        <v>11880</v>
      </c>
      <c r="L213" s="1609">
        <v>16020</v>
      </c>
      <c r="M213" s="1609">
        <v>20160</v>
      </c>
      <c r="N213" s="1609">
        <v>24300</v>
      </c>
      <c r="O213" s="1609">
        <v>28440</v>
      </c>
      <c r="P213" s="1609">
        <v>32250</v>
      </c>
      <c r="Q213" s="1609">
        <v>34500</v>
      </c>
      <c r="R213" s="1609">
        <v>36700</v>
      </c>
      <c r="S213" s="1609">
        <v>31150</v>
      </c>
      <c r="T213" s="1609">
        <v>35600</v>
      </c>
      <c r="U213" s="1609">
        <v>40050</v>
      </c>
      <c r="V213" s="1609">
        <v>44500</v>
      </c>
      <c r="W213" s="1609">
        <v>48100</v>
      </c>
      <c r="X213" s="1609">
        <v>51650</v>
      </c>
      <c r="Y213" s="1609">
        <v>55200</v>
      </c>
      <c r="Z213" s="1609">
        <v>58750</v>
      </c>
    </row>
    <row r="214" spans="2:26">
      <c r="B214" s="1613" t="s">
        <v>609</v>
      </c>
      <c r="C214" s="1609">
        <v>23400</v>
      </c>
      <c r="D214" s="1609">
        <v>26750</v>
      </c>
      <c r="E214" s="1609">
        <v>30100</v>
      </c>
      <c r="F214" s="1609">
        <v>33400</v>
      </c>
      <c r="G214" s="1609">
        <v>36100</v>
      </c>
      <c r="H214" s="1609">
        <v>38750</v>
      </c>
      <c r="I214" s="1609">
        <v>41450</v>
      </c>
      <c r="J214" s="1609">
        <v>44100</v>
      </c>
      <c r="K214" s="1609">
        <v>14050</v>
      </c>
      <c r="L214" s="1609">
        <v>16050</v>
      </c>
      <c r="M214" s="1609">
        <v>20160</v>
      </c>
      <c r="N214" s="1609">
        <v>24300</v>
      </c>
      <c r="O214" s="1609">
        <v>28440</v>
      </c>
      <c r="P214" s="1609">
        <v>32580</v>
      </c>
      <c r="Q214" s="1609">
        <v>36730</v>
      </c>
      <c r="R214" s="1609">
        <v>40890</v>
      </c>
      <c r="S214" s="1609">
        <v>37450</v>
      </c>
      <c r="T214" s="1609">
        <v>42800</v>
      </c>
      <c r="U214" s="1609">
        <v>48150</v>
      </c>
      <c r="V214" s="1609">
        <v>53450</v>
      </c>
      <c r="W214" s="1609">
        <v>57750</v>
      </c>
      <c r="X214" s="1609">
        <v>62050</v>
      </c>
      <c r="Y214" s="1609">
        <v>66300</v>
      </c>
      <c r="Z214" s="1609">
        <v>70600</v>
      </c>
    </row>
    <row r="215" spans="2:26">
      <c r="B215" s="1613" t="s">
        <v>610</v>
      </c>
      <c r="C215" s="1609">
        <v>23800</v>
      </c>
      <c r="D215" s="1609">
        <v>27200</v>
      </c>
      <c r="E215" s="1609">
        <v>30600</v>
      </c>
      <c r="F215" s="1609">
        <v>33950</v>
      </c>
      <c r="G215" s="1609">
        <v>36700</v>
      </c>
      <c r="H215" s="1609">
        <v>39400</v>
      </c>
      <c r="I215" s="1609">
        <v>42100</v>
      </c>
      <c r="J215" s="1609">
        <v>44850</v>
      </c>
      <c r="K215" s="1609">
        <v>14250</v>
      </c>
      <c r="L215" s="1609">
        <v>16300</v>
      </c>
      <c r="M215" s="1609">
        <v>20160</v>
      </c>
      <c r="N215" s="1609">
        <v>24300</v>
      </c>
      <c r="O215" s="1609">
        <v>28440</v>
      </c>
      <c r="P215" s="1609">
        <v>32580</v>
      </c>
      <c r="Q215" s="1609">
        <v>36730</v>
      </c>
      <c r="R215" s="1609">
        <v>40890</v>
      </c>
      <c r="S215" s="1609">
        <v>38050</v>
      </c>
      <c r="T215" s="1609">
        <v>43450</v>
      </c>
      <c r="U215" s="1609">
        <v>48900</v>
      </c>
      <c r="V215" s="1609">
        <v>54300</v>
      </c>
      <c r="W215" s="1609">
        <v>58650</v>
      </c>
      <c r="X215" s="1609">
        <v>63000</v>
      </c>
      <c r="Y215" s="1609">
        <v>67350</v>
      </c>
      <c r="Z215" s="1609">
        <v>71700</v>
      </c>
    </row>
    <row r="216" spans="2:26">
      <c r="B216" s="1613" t="s">
        <v>611</v>
      </c>
      <c r="C216" s="1609">
        <v>19500</v>
      </c>
      <c r="D216" s="1609">
        <v>22250</v>
      </c>
      <c r="E216" s="1609">
        <v>25050</v>
      </c>
      <c r="F216" s="1609">
        <v>27800</v>
      </c>
      <c r="G216" s="1609">
        <v>30050</v>
      </c>
      <c r="H216" s="1609">
        <v>32250</v>
      </c>
      <c r="I216" s="1609">
        <v>34500</v>
      </c>
      <c r="J216" s="1609">
        <v>36700</v>
      </c>
      <c r="K216" s="1609">
        <v>11880</v>
      </c>
      <c r="L216" s="1609">
        <v>16020</v>
      </c>
      <c r="M216" s="1609">
        <v>20160</v>
      </c>
      <c r="N216" s="1609">
        <v>24300</v>
      </c>
      <c r="O216" s="1609">
        <v>28440</v>
      </c>
      <c r="P216" s="1609">
        <v>32250</v>
      </c>
      <c r="Q216" s="1609">
        <v>34500</v>
      </c>
      <c r="R216" s="1609">
        <v>36700</v>
      </c>
      <c r="S216" s="1609">
        <v>31150</v>
      </c>
      <c r="T216" s="1609">
        <v>35600</v>
      </c>
      <c r="U216" s="1609">
        <v>40050</v>
      </c>
      <c r="V216" s="1609">
        <v>44500</v>
      </c>
      <c r="W216" s="1609">
        <v>48100</v>
      </c>
      <c r="X216" s="1609">
        <v>51650</v>
      </c>
      <c r="Y216" s="1609">
        <v>55200</v>
      </c>
      <c r="Z216" s="1609">
        <v>58750</v>
      </c>
    </row>
    <row r="217" spans="2:26">
      <c r="B217" s="1613" t="s">
        <v>612</v>
      </c>
      <c r="C217" s="1609">
        <v>20750</v>
      </c>
      <c r="D217" s="1609">
        <v>23700</v>
      </c>
      <c r="E217" s="1609">
        <v>26650</v>
      </c>
      <c r="F217" s="1609">
        <v>29600</v>
      </c>
      <c r="G217" s="1609">
        <v>32000</v>
      </c>
      <c r="H217" s="1609">
        <v>34350</v>
      </c>
      <c r="I217" s="1609">
        <v>36750</v>
      </c>
      <c r="J217" s="1609">
        <v>39100</v>
      </c>
      <c r="K217" s="1609">
        <v>12450</v>
      </c>
      <c r="L217" s="1609">
        <v>16020</v>
      </c>
      <c r="M217" s="1609">
        <v>20160</v>
      </c>
      <c r="N217" s="1609">
        <v>24300</v>
      </c>
      <c r="O217" s="1609">
        <v>28440</v>
      </c>
      <c r="P217" s="1609">
        <v>32580</v>
      </c>
      <c r="Q217" s="1609">
        <v>36730</v>
      </c>
      <c r="R217" s="1609">
        <v>39100</v>
      </c>
      <c r="S217" s="1609">
        <v>33150</v>
      </c>
      <c r="T217" s="1609">
        <v>37900</v>
      </c>
      <c r="U217" s="1609">
        <v>42650</v>
      </c>
      <c r="V217" s="1609">
        <v>47350</v>
      </c>
      <c r="W217" s="1609">
        <v>51150</v>
      </c>
      <c r="X217" s="1609">
        <v>54950</v>
      </c>
      <c r="Y217" s="1609">
        <v>58750</v>
      </c>
      <c r="Z217" s="1609">
        <v>62550</v>
      </c>
    </row>
    <row r="218" spans="2:26">
      <c r="B218" s="1613" t="s">
        <v>613</v>
      </c>
      <c r="C218" s="1609">
        <v>24700</v>
      </c>
      <c r="D218" s="1609">
        <v>28200</v>
      </c>
      <c r="E218" s="1609">
        <v>31750</v>
      </c>
      <c r="F218" s="1609">
        <v>35250</v>
      </c>
      <c r="G218" s="1609">
        <v>38100</v>
      </c>
      <c r="H218" s="1609">
        <v>40900</v>
      </c>
      <c r="I218" s="1609">
        <v>43750</v>
      </c>
      <c r="J218" s="1609">
        <v>46550</v>
      </c>
      <c r="K218" s="1609">
        <v>14850</v>
      </c>
      <c r="L218" s="1609">
        <v>16950</v>
      </c>
      <c r="M218" s="1609">
        <v>20160</v>
      </c>
      <c r="N218" s="1609">
        <v>24300</v>
      </c>
      <c r="O218" s="1609">
        <v>28440</v>
      </c>
      <c r="P218" s="1609">
        <v>32580</v>
      </c>
      <c r="Q218" s="1609">
        <v>36730</v>
      </c>
      <c r="R218" s="1609">
        <v>40890</v>
      </c>
      <c r="S218" s="1609">
        <v>39500</v>
      </c>
      <c r="T218" s="1609">
        <v>45150</v>
      </c>
      <c r="U218" s="1609">
        <v>50800</v>
      </c>
      <c r="V218" s="1609">
        <v>56400</v>
      </c>
      <c r="W218" s="1609">
        <v>60950</v>
      </c>
      <c r="X218" s="1609">
        <v>65450</v>
      </c>
      <c r="Y218" s="1609">
        <v>69950</v>
      </c>
      <c r="Z218" s="1609">
        <v>74450</v>
      </c>
    </row>
    <row r="219" spans="2:26">
      <c r="B219" s="1613" t="s">
        <v>614</v>
      </c>
      <c r="C219" s="1609">
        <v>22550</v>
      </c>
      <c r="D219" s="1609">
        <v>25800</v>
      </c>
      <c r="E219" s="1609">
        <v>29000</v>
      </c>
      <c r="F219" s="1609">
        <v>32200</v>
      </c>
      <c r="G219" s="1609">
        <v>34800</v>
      </c>
      <c r="H219" s="1609">
        <v>37400</v>
      </c>
      <c r="I219" s="1609">
        <v>39950</v>
      </c>
      <c r="J219" s="1609">
        <v>42550</v>
      </c>
      <c r="K219" s="1609">
        <v>13550</v>
      </c>
      <c r="L219" s="1609">
        <v>16020</v>
      </c>
      <c r="M219" s="1609">
        <v>20160</v>
      </c>
      <c r="N219" s="1609">
        <v>24300</v>
      </c>
      <c r="O219" s="1609">
        <v>28440</v>
      </c>
      <c r="P219" s="1609">
        <v>32580</v>
      </c>
      <c r="Q219" s="1609">
        <v>36730</v>
      </c>
      <c r="R219" s="1609">
        <v>40890</v>
      </c>
      <c r="S219" s="1609">
        <v>36050</v>
      </c>
      <c r="T219" s="1609">
        <v>41200</v>
      </c>
      <c r="U219" s="1609">
        <v>46350</v>
      </c>
      <c r="V219" s="1609">
        <v>51500</v>
      </c>
      <c r="W219" s="1609">
        <v>55650</v>
      </c>
      <c r="X219" s="1609">
        <v>59750</v>
      </c>
      <c r="Y219" s="1609">
        <v>63900</v>
      </c>
      <c r="Z219" s="1609">
        <v>68000</v>
      </c>
    </row>
    <row r="220" spans="2:26">
      <c r="B220" s="1613" t="s">
        <v>615</v>
      </c>
      <c r="C220" s="1609">
        <v>31650</v>
      </c>
      <c r="D220" s="1609">
        <v>36150</v>
      </c>
      <c r="E220" s="1609">
        <v>40650</v>
      </c>
      <c r="F220" s="1609">
        <v>45150</v>
      </c>
      <c r="G220" s="1609">
        <v>48800</v>
      </c>
      <c r="H220" s="1609">
        <v>52400</v>
      </c>
      <c r="I220" s="1609">
        <v>56000</v>
      </c>
      <c r="J220" s="1609">
        <v>59600</v>
      </c>
      <c r="K220" s="1609">
        <v>19000</v>
      </c>
      <c r="L220" s="1609">
        <v>21700</v>
      </c>
      <c r="M220" s="1609">
        <v>24400</v>
      </c>
      <c r="N220" s="1609">
        <v>27100</v>
      </c>
      <c r="O220" s="1609">
        <v>29300</v>
      </c>
      <c r="P220" s="1609">
        <v>32580</v>
      </c>
      <c r="Q220" s="1609">
        <v>36730</v>
      </c>
      <c r="R220" s="1609">
        <v>40890</v>
      </c>
      <c r="S220" s="1609">
        <v>48550</v>
      </c>
      <c r="T220" s="1609">
        <v>55450</v>
      </c>
      <c r="U220" s="1609">
        <v>62400</v>
      </c>
      <c r="V220" s="1609">
        <v>69300</v>
      </c>
      <c r="W220" s="1609">
        <v>74850</v>
      </c>
      <c r="X220" s="1609">
        <v>80400</v>
      </c>
      <c r="Y220" s="1609">
        <v>85950</v>
      </c>
      <c r="Z220" s="1609">
        <v>91500</v>
      </c>
    </row>
    <row r="221" spans="2:26">
      <c r="B221" s="1613" t="s">
        <v>616</v>
      </c>
      <c r="C221" s="1609">
        <v>27350</v>
      </c>
      <c r="D221" s="1609">
        <v>31250</v>
      </c>
      <c r="E221" s="1609">
        <v>35150</v>
      </c>
      <c r="F221" s="1609">
        <v>39050</v>
      </c>
      <c r="G221" s="1609">
        <v>42200</v>
      </c>
      <c r="H221" s="1609">
        <v>45300</v>
      </c>
      <c r="I221" s="1609">
        <v>48450</v>
      </c>
      <c r="J221" s="1609">
        <v>51550</v>
      </c>
      <c r="K221" s="1609">
        <v>16450</v>
      </c>
      <c r="L221" s="1609">
        <v>18800</v>
      </c>
      <c r="M221" s="1609">
        <v>21150</v>
      </c>
      <c r="N221" s="1609">
        <v>24300</v>
      </c>
      <c r="O221" s="1609">
        <v>28440</v>
      </c>
      <c r="P221" s="1609">
        <v>32580</v>
      </c>
      <c r="Q221" s="1609">
        <v>36730</v>
      </c>
      <c r="R221" s="1609">
        <v>40890</v>
      </c>
      <c r="S221" s="1609">
        <v>43750</v>
      </c>
      <c r="T221" s="1609">
        <v>50000</v>
      </c>
      <c r="U221" s="1609">
        <v>56250</v>
      </c>
      <c r="V221" s="1609">
        <v>62500</v>
      </c>
      <c r="W221" s="1609">
        <v>67500</v>
      </c>
      <c r="X221" s="1609">
        <v>72500</v>
      </c>
      <c r="Y221" s="1609">
        <v>77500</v>
      </c>
      <c r="Z221" s="1609">
        <v>82500</v>
      </c>
    </row>
    <row r="222" spans="2:26">
      <c r="B222" s="1613" t="s">
        <v>617</v>
      </c>
      <c r="C222" s="1609">
        <v>23000</v>
      </c>
      <c r="D222" s="1609">
        <v>26250</v>
      </c>
      <c r="E222" s="1609">
        <v>29550</v>
      </c>
      <c r="F222" s="1609">
        <v>32800</v>
      </c>
      <c r="G222" s="1609">
        <v>35450</v>
      </c>
      <c r="H222" s="1609">
        <v>38050</v>
      </c>
      <c r="I222" s="1609">
        <v>40700</v>
      </c>
      <c r="J222" s="1609">
        <v>43300</v>
      </c>
      <c r="K222" s="1609">
        <v>13800</v>
      </c>
      <c r="L222" s="1609">
        <v>16020</v>
      </c>
      <c r="M222" s="1609">
        <v>20160</v>
      </c>
      <c r="N222" s="1609">
        <v>24300</v>
      </c>
      <c r="O222" s="1609">
        <v>28440</v>
      </c>
      <c r="P222" s="1609">
        <v>32580</v>
      </c>
      <c r="Q222" s="1609">
        <v>36730</v>
      </c>
      <c r="R222" s="1609">
        <v>40890</v>
      </c>
      <c r="S222" s="1609">
        <v>36750</v>
      </c>
      <c r="T222" s="1609">
        <v>42000</v>
      </c>
      <c r="U222" s="1609">
        <v>47250</v>
      </c>
      <c r="V222" s="1609">
        <v>52500</v>
      </c>
      <c r="W222" s="1609">
        <v>56700</v>
      </c>
      <c r="X222" s="1609">
        <v>60900</v>
      </c>
      <c r="Y222" s="1609">
        <v>65100</v>
      </c>
      <c r="Z222" s="1609">
        <v>69300</v>
      </c>
    </row>
    <row r="223" spans="2:26">
      <c r="B223" s="1613" t="s">
        <v>618</v>
      </c>
      <c r="C223" s="1609">
        <v>19500</v>
      </c>
      <c r="D223" s="1609">
        <v>22250</v>
      </c>
      <c r="E223" s="1609">
        <v>25050</v>
      </c>
      <c r="F223" s="1609">
        <v>27800</v>
      </c>
      <c r="G223" s="1609">
        <v>30050</v>
      </c>
      <c r="H223" s="1609">
        <v>32250</v>
      </c>
      <c r="I223" s="1609">
        <v>34500</v>
      </c>
      <c r="J223" s="1609">
        <v>36700</v>
      </c>
      <c r="K223" s="1609">
        <v>11880</v>
      </c>
      <c r="L223" s="1609">
        <v>16020</v>
      </c>
      <c r="M223" s="1609">
        <v>20160</v>
      </c>
      <c r="N223" s="1609">
        <v>24300</v>
      </c>
      <c r="O223" s="1609">
        <v>28440</v>
      </c>
      <c r="P223" s="1609">
        <v>32250</v>
      </c>
      <c r="Q223" s="1609">
        <v>34500</v>
      </c>
      <c r="R223" s="1609">
        <v>36700</v>
      </c>
      <c r="S223" s="1609">
        <v>31150</v>
      </c>
      <c r="T223" s="1609">
        <v>35600</v>
      </c>
      <c r="U223" s="1609">
        <v>40050</v>
      </c>
      <c r="V223" s="1609">
        <v>44500</v>
      </c>
      <c r="W223" s="1609">
        <v>48100</v>
      </c>
      <c r="X223" s="1609">
        <v>51650</v>
      </c>
      <c r="Y223" s="1609">
        <v>55200</v>
      </c>
      <c r="Z223" s="1609">
        <v>58750</v>
      </c>
    </row>
    <row r="224" spans="2:26">
      <c r="B224" s="1613" t="s">
        <v>619</v>
      </c>
      <c r="C224" s="1609">
        <v>19500</v>
      </c>
      <c r="D224" s="1609">
        <v>22250</v>
      </c>
      <c r="E224" s="1609">
        <v>25050</v>
      </c>
      <c r="F224" s="1609">
        <v>27800</v>
      </c>
      <c r="G224" s="1609">
        <v>30050</v>
      </c>
      <c r="H224" s="1609">
        <v>32250</v>
      </c>
      <c r="I224" s="1609">
        <v>34500</v>
      </c>
      <c r="J224" s="1609">
        <v>36700</v>
      </c>
      <c r="K224" s="1609">
        <v>11880</v>
      </c>
      <c r="L224" s="1609">
        <v>16020</v>
      </c>
      <c r="M224" s="1609">
        <v>20160</v>
      </c>
      <c r="N224" s="1609">
        <v>24300</v>
      </c>
      <c r="O224" s="1609">
        <v>28440</v>
      </c>
      <c r="P224" s="1609">
        <v>32250</v>
      </c>
      <c r="Q224" s="1609">
        <v>34500</v>
      </c>
      <c r="R224" s="1609">
        <v>36700</v>
      </c>
      <c r="S224" s="1609">
        <v>31150</v>
      </c>
      <c r="T224" s="1609">
        <v>35600</v>
      </c>
      <c r="U224" s="1609">
        <v>40050</v>
      </c>
      <c r="V224" s="1609">
        <v>44500</v>
      </c>
      <c r="W224" s="1609">
        <v>48100</v>
      </c>
      <c r="X224" s="1609">
        <v>51650</v>
      </c>
      <c r="Y224" s="1609">
        <v>55200</v>
      </c>
      <c r="Z224" s="1609">
        <v>58750</v>
      </c>
    </row>
    <row r="225" spans="2:26">
      <c r="B225" s="1613" t="s">
        <v>620</v>
      </c>
      <c r="C225" s="1609">
        <v>21750</v>
      </c>
      <c r="D225" s="1609">
        <v>24850</v>
      </c>
      <c r="E225" s="1609">
        <v>27950</v>
      </c>
      <c r="F225" s="1609">
        <v>31050</v>
      </c>
      <c r="G225" s="1609">
        <v>33550</v>
      </c>
      <c r="H225" s="1609">
        <v>36050</v>
      </c>
      <c r="I225" s="1609">
        <v>38550</v>
      </c>
      <c r="J225" s="1609">
        <v>41000</v>
      </c>
      <c r="K225" s="1609">
        <v>13100</v>
      </c>
      <c r="L225" s="1609">
        <v>16020</v>
      </c>
      <c r="M225" s="1609">
        <v>20160</v>
      </c>
      <c r="N225" s="1609">
        <v>24300</v>
      </c>
      <c r="O225" s="1609">
        <v>28440</v>
      </c>
      <c r="P225" s="1609">
        <v>32580</v>
      </c>
      <c r="Q225" s="1609">
        <v>36730</v>
      </c>
      <c r="R225" s="1609">
        <v>40890</v>
      </c>
      <c r="S225" s="1609">
        <v>34800</v>
      </c>
      <c r="T225" s="1609">
        <v>39800</v>
      </c>
      <c r="U225" s="1609">
        <v>44750</v>
      </c>
      <c r="V225" s="1609">
        <v>49700</v>
      </c>
      <c r="W225" s="1609">
        <v>53700</v>
      </c>
      <c r="X225" s="1609">
        <v>57700</v>
      </c>
      <c r="Y225" s="1609">
        <v>61650</v>
      </c>
      <c r="Z225" s="1609">
        <v>65650</v>
      </c>
    </row>
    <row r="226" spans="2:26">
      <c r="B226" s="1613" t="s">
        <v>621</v>
      </c>
      <c r="C226" s="1609">
        <v>20750</v>
      </c>
      <c r="D226" s="1609">
        <v>23700</v>
      </c>
      <c r="E226" s="1609">
        <v>26650</v>
      </c>
      <c r="F226" s="1609">
        <v>29600</v>
      </c>
      <c r="G226" s="1609">
        <v>32000</v>
      </c>
      <c r="H226" s="1609">
        <v>34350</v>
      </c>
      <c r="I226" s="1609">
        <v>36750</v>
      </c>
      <c r="J226" s="1609">
        <v>39100</v>
      </c>
      <c r="K226" s="1609">
        <v>12450</v>
      </c>
      <c r="L226" s="1609">
        <v>16020</v>
      </c>
      <c r="M226" s="1609">
        <v>20160</v>
      </c>
      <c r="N226" s="1609">
        <v>24300</v>
      </c>
      <c r="O226" s="1609">
        <v>28440</v>
      </c>
      <c r="P226" s="1609">
        <v>32580</v>
      </c>
      <c r="Q226" s="1609">
        <v>36730</v>
      </c>
      <c r="R226" s="1609">
        <v>39100</v>
      </c>
      <c r="S226" s="1609">
        <v>33150</v>
      </c>
      <c r="T226" s="1609">
        <v>37900</v>
      </c>
      <c r="U226" s="1609">
        <v>42650</v>
      </c>
      <c r="V226" s="1609">
        <v>47350</v>
      </c>
      <c r="W226" s="1609">
        <v>51150</v>
      </c>
      <c r="X226" s="1609">
        <v>54950</v>
      </c>
      <c r="Y226" s="1609">
        <v>58750</v>
      </c>
      <c r="Z226" s="1609">
        <v>62550</v>
      </c>
    </row>
    <row r="227" spans="2:26">
      <c r="B227" s="1613" t="s">
        <v>622</v>
      </c>
      <c r="C227" s="1609">
        <v>19500</v>
      </c>
      <c r="D227" s="1609">
        <v>22250</v>
      </c>
      <c r="E227" s="1609">
        <v>25050</v>
      </c>
      <c r="F227" s="1609">
        <v>27800</v>
      </c>
      <c r="G227" s="1609">
        <v>30050</v>
      </c>
      <c r="H227" s="1609">
        <v>32250</v>
      </c>
      <c r="I227" s="1609">
        <v>34500</v>
      </c>
      <c r="J227" s="1609">
        <v>36700</v>
      </c>
      <c r="K227" s="1609">
        <v>11880</v>
      </c>
      <c r="L227" s="1609">
        <v>16020</v>
      </c>
      <c r="M227" s="1609">
        <v>20160</v>
      </c>
      <c r="N227" s="1609">
        <v>24300</v>
      </c>
      <c r="O227" s="1609">
        <v>28440</v>
      </c>
      <c r="P227" s="1609">
        <v>32250</v>
      </c>
      <c r="Q227" s="1609">
        <v>34500</v>
      </c>
      <c r="R227" s="1609">
        <v>36700</v>
      </c>
      <c r="S227" s="1609">
        <v>31150</v>
      </c>
      <c r="T227" s="1609">
        <v>35600</v>
      </c>
      <c r="U227" s="1609">
        <v>40050</v>
      </c>
      <c r="V227" s="1609">
        <v>44500</v>
      </c>
      <c r="W227" s="1609">
        <v>48100</v>
      </c>
      <c r="X227" s="1609">
        <v>51650</v>
      </c>
      <c r="Y227" s="1609">
        <v>55200</v>
      </c>
      <c r="Z227" s="1609">
        <v>58750</v>
      </c>
    </row>
    <row r="228" spans="2:26">
      <c r="B228" s="1613" t="s">
        <v>623</v>
      </c>
      <c r="C228" s="1609">
        <v>19500</v>
      </c>
      <c r="D228" s="1609">
        <v>22250</v>
      </c>
      <c r="E228" s="1609">
        <v>25050</v>
      </c>
      <c r="F228" s="1609">
        <v>27800</v>
      </c>
      <c r="G228" s="1609">
        <v>30050</v>
      </c>
      <c r="H228" s="1609">
        <v>32250</v>
      </c>
      <c r="I228" s="1609">
        <v>34500</v>
      </c>
      <c r="J228" s="1609">
        <v>36700</v>
      </c>
      <c r="K228" s="1609">
        <v>11880</v>
      </c>
      <c r="L228" s="1609">
        <v>16020</v>
      </c>
      <c r="M228" s="1609">
        <v>20160</v>
      </c>
      <c r="N228" s="1609">
        <v>24300</v>
      </c>
      <c r="O228" s="1609">
        <v>28440</v>
      </c>
      <c r="P228" s="1609">
        <v>32250</v>
      </c>
      <c r="Q228" s="1609">
        <v>34500</v>
      </c>
      <c r="R228" s="1609">
        <v>36700</v>
      </c>
      <c r="S228" s="1609">
        <v>31150</v>
      </c>
      <c r="T228" s="1609">
        <v>35600</v>
      </c>
      <c r="U228" s="1609">
        <v>40050</v>
      </c>
      <c r="V228" s="1609">
        <v>44500</v>
      </c>
      <c r="W228" s="1609">
        <v>48100</v>
      </c>
      <c r="X228" s="1609">
        <v>51650</v>
      </c>
      <c r="Y228" s="1609">
        <v>55200</v>
      </c>
      <c r="Z228" s="1609">
        <v>58750</v>
      </c>
    </row>
    <row r="229" spans="2:26">
      <c r="B229" s="1613" t="s">
        <v>624</v>
      </c>
      <c r="C229" s="1609">
        <v>19500</v>
      </c>
      <c r="D229" s="1609">
        <v>22250</v>
      </c>
      <c r="E229" s="1609">
        <v>25050</v>
      </c>
      <c r="F229" s="1609">
        <v>27800</v>
      </c>
      <c r="G229" s="1609">
        <v>30050</v>
      </c>
      <c r="H229" s="1609">
        <v>32250</v>
      </c>
      <c r="I229" s="1609">
        <v>34500</v>
      </c>
      <c r="J229" s="1609">
        <v>36700</v>
      </c>
      <c r="K229" s="1609">
        <v>11880</v>
      </c>
      <c r="L229" s="1609">
        <v>16020</v>
      </c>
      <c r="M229" s="1609">
        <v>20160</v>
      </c>
      <c r="N229" s="1609">
        <v>24300</v>
      </c>
      <c r="O229" s="1609">
        <v>28440</v>
      </c>
      <c r="P229" s="1609">
        <v>32250</v>
      </c>
      <c r="Q229" s="1609">
        <v>34500</v>
      </c>
      <c r="R229" s="1609">
        <v>36700</v>
      </c>
      <c r="S229" s="1609">
        <v>31150</v>
      </c>
      <c r="T229" s="1609">
        <v>35600</v>
      </c>
      <c r="U229" s="1609">
        <v>40050</v>
      </c>
      <c r="V229" s="1609">
        <v>44500</v>
      </c>
      <c r="W229" s="1609">
        <v>48100</v>
      </c>
      <c r="X229" s="1609">
        <v>51650</v>
      </c>
      <c r="Y229" s="1609">
        <v>55200</v>
      </c>
      <c r="Z229" s="1609">
        <v>58750</v>
      </c>
    </row>
    <row r="230" spans="2:26">
      <c r="B230" s="1613" t="s">
        <v>625</v>
      </c>
      <c r="C230" s="1609">
        <v>25350</v>
      </c>
      <c r="D230" s="1609">
        <v>28950</v>
      </c>
      <c r="E230" s="1609">
        <v>32550</v>
      </c>
      <c r="F230" s="1609">
        <v>36150</v>
      </c>
      <c r="G230" s="1609">
        <v>39050</v>
      </c>
      <c r="H230" s="1609">
        <v>41950</v>
      </c>
      <c r="I230" s="1609">
        <v>44850</v>
      </c>
      <c r="J230" s="1609">
        <v>47750</v>
      </c>
      <c r="K230" s="1609">
        <v>15200</v>
      </c>
      <c r="L230" s="1609">
        <v>17400</v>
      </c>
      <c r="M230" s="1609">
        <v>20160</v>
      </c>
      <c r="N230" s="1609">
        <v>24300</v>
      </c>
      <c r="O230" s="1609">
        <v>28440</v>
      </c>
      <c r="P230" s="1609">
        <v>32580</v>
      </c>
      <c r="Q230" s="1609">
        <v>36730</v>
      </c>
      <c r="R230" s="1609">
        <v>40890</v>
      </c>
      <c r="S230" s="1609">
        <v>40500</v>
      </c>
      <c r="T230" s="1609">
        <v>46300</v>
      </c>
      <c r="U230" s="1609">
        <v>52100</v>
      </c>
      <c r="V230" s="1609">
        <v>57850</v>
      </c>
      <c r="W230" s="1609">
        <v>62500</v>
      </c>
      <c r="X230" s="1609">
        <v>67150</v>
      </c>
      <c r="Y230" s="1609">
        <v>71750</v>
      </c>
      <c r="Z230" s="1609">
        <v>76400</v>
      </c>
    </row>
    <row r="231" spans="2:26">
      <c r="B231" s="1613" t="s">
        <v>626</v>
      </c>
      <c r="C231" s="1609">
        <v>23400</v>
      </c>
      <c r="D231" s="1609">
        <v>26750</v>
      </c>
      <c r="E231" s="1609">
        <v>30100</v>
      </c>
      <c r="F231" s="1609">
        <v>33400</v>
      </c>
      <c r="G231" s="1609">
        <v>36100</v>
      </c>
      <c r="H231" s="1609">
        <v>38750</v>
      </c>
      <c r="I231" s="1609">
        <v>41450</v>
      </c>
      <c r="J231" s="1609">
        <v>44100</v>
      </c>
      <c r="K231" s="1609">
        <v>14050</v>
      </c>
      <c r="L231" s="1609">
        <v>16050</v>
      </c>
      <c r="M231" s="1609">
        <v>20160</v>
      </c>
      <c r="N231" s="1609">
        <v>24300</v>
      </c>
      <c r="O231" s="1609">
        <v>28440</v>
      </c>
      <c r="P231" s="1609">
        <v>32580</v>
      </c>
      <c r="Q231" s="1609">
        <v>36730</v>
      </c>
      <c r="R231" s="1609">
        <v>40890</v>
      </c>
      <c r="S231" s="1609">
        <v>37450</v>
      </c>
      <c r="T231" s="1609">
        <v>42800</v>
      </c>
      <c r="U231" s="1609">
        <v>48150</v>
      </c>
      <c r="V231" s="1609">
        <v>53450</v>
      </c>
      <c r="W231" s="1609">
        <v>57750</v>
      </c>
      <c r="X231" s="1609">
        <v>62050</v>
      </c>
      <c r="Y231" s="1609">
        <v>66300</v>
      </c>
      <c r="Z231" s="1609">
        <v>70600</v>
      </c>
    </row>
    <row r="232" spans="2:26">
      <c r="B232" s="1613" t="s">
        <v>627</v>
      </c>
      <c r="C232" s="1609">
        <v>22700</v>
      </c>
      <c r="D232" s="1609">
        <v>25950</v>
      </c>
      <c r="E232" s="1609">
        <v>29200</v>
      </c>
      <c r="F232" s="1609">
        <v>32400</v>
      </c>
      <c r="G232" s="1609">
        <v>35000</v>
      </c>
      <c r="H232" s="1609">
        <v>37600</v>
      </c>
      <c r="I232" s="1609">
        <v>40200</v>
      </c>
      <c r="J232" s="1609">
        <v>42800</v>
      </c>
      <c r="K232" s="1609">
        <v>13650</v>
      </c>
      <c r="L232" s="1609">
        <v>16020</v>
      </c>
      <c r="M232" s="1609">
        <v>20160</v>
      </c>
      <c r="N232" s="1609">
        <v>24300</v>
      </c>
      <c r="O232" s="1609">
        <v>28440</v>
      </c>
      <c r="P232" s="1609">
        <v>32580</v>
      </c>
      <c r="Q232" s="1609">
        <v>36730</v>
      </c>
      <c r="R232" s="1609">
        <v>40890</v>
      </c>
      <c r="S232" s="1609">
        <v>36300</v>
      </c>
      <c r="T232" s="1609">
        <v>41500</v>
      </c>
      <c r="U232" s="1609">
        <v>46700</v>
      </c>
      <c r="V232" s="1609">
        <v>51850</v>
      </c>
      <c r="W232" s="1609">
        <v>56000</v>
      </c>
      <c r="X232" s="1609">
        <v>60150</v>
      </c>
      <c r="Y232" s="1609">
        <v>64300</v>
      </c>
      <c r="Z232" s="1609">
        <v>68450</v>
      </c>
    </row>
    <row r="233" spans="2:26">
      <c r="B233" s="1613" t="s">
        <v>628</v>
      </c>
      <c r="C233" s="1609">
        <v>25700</v>
      </c>
      <c r="D233" s="1609">
        <v>29350</v>
      </c>
      <c r="E233" s="1609">
        <v>33000</v>
      </c>
      <c r="F233" s="1609">
        <v>36650</v>
      </c>
      <c r="G233" s="1609">
        <v>39600</v>
      </c>
      <c r="H233" s="1609">
        <v>42550</v>
      </c>
      <c r="I233" s="1609">
        <v>45450</v>
      </c>
      <c r="J233" s="1609">
        <v>48400</v>
      </c>
      <c r="K233" s="1609">
        <v>15400</v>
      </c>
      <c r="L233" s="1609">
        <v>17600</v>
      </c>
      <c r="M233" s="1609">
        <v>20160</v>
      </c>
      <c r="N233" s="1609">
        <v>24300</v>
      </c>
      <c r="O233" s="1609">
        <v>28440</v>
      </c>
      <c r="P233" s="1609">
        <v>32580</v>
      </c>
      <c r="Q233" s="1609">
        <v>36730</v>
      </c>
      <c r="R233" s="1609">
        <v>40890</v>
      </c>
      <c r="S233" s="1609">
        <v>41100</v>
      </c>
      <c r="T233" s="1609">
        <v>46950</v>
      </c>
      <c r="U233" s="1609">
        <v>52800</v>
      </c>
      <c r="V233" s="1609">
        <v>58650</v>
      </c>
      <c r="W233" s="1609">
        <v>63350</v>
      </c>
      <c r="X233" s="1609">
        <v>68050</v>
      </c>
      <c r="Y233" s="1609">
        <v>72750</v>
      </c>
      <c r="Z233" s="1609">
        <v>77450</v>
      </c>
    </row>
    <row r="234" spans="2:26">
      <c r="B234" s="1613" t="s">
        <v>629</v>
      </c>
      <c r="C234" s="1609">
        <v>31650</v>
      </c>
      <c r="D234" s="1609">
        <v>36150</v>
      </c>
      <c r="E234" s="1609">
        <v>40650</v>
      </c>
      <c r="F234" s="1609">
        <v>45150</v>
      </c>
      <c r="G234" s="1609">
        <v>48800</v>
      </c>
      <c r="H234" s="1609">
        <v>52400</v>
      </c>
      <c r="I234" s="1609">
        <v>56000</v>
      </c>
      <c r="J234" s="1609">
        <v>59600</v>
      </c>
      <c r="K234" s="1609">
        <v>19000</v>
      </c>
      <c r="L234" s="1609">
        <v>21700</v>
      </c>
      <c r="M234" s="1609">
        <v>24400</v>
      </c>
      <c r="N234" s="1609">
        <v>27100</v>
      </c>
      <c r="O234" s="1609">
        <v>29300</v>
      </c>
      <c r="P234" s="1609">
        <v>32580</v>
      </c>
      <c r="Q234" s="1609">
        <v>36730</v>
      </c>
      <c r="R234" s="1609">
        <v>40890</v>
      </c>
      <c r="S234" s="1609">
        <v>48550</v>
      </c>
      <c r="T234" s="1609">
        <v>55450</v>
      </c>
      <c r="U234" s="1609">
        <v>62400</v>
      </c>
      <c r="V234" s="1609">
        <v>69300</v>
      </c>
      <c r="W234" s="1609">
        <v>74850</v>
      </c>
      <c r="X234" s="1609">
        <v>80400</v>
      </c>
      <c r="Y234" s="1609">
        <v>85950</v>
      </c>
      <c r="Z234" s="1609">
        <v>91500</v>
      </c>
    </row>
    <row r="235" spans="2:26">
      <c r="B235" s="1613" t="s">
        <v>630</v>
      </c>
      <c r="C235" s="1609">
        <v>21950</v>
      </c>
      <c r="D235" s="1609">
        <v>25050</v>
      </c>
      <c r="E235" s="1609">
        <v>28200</v>
      </c>
      <c r="F235" s="1609">
        <v>31300</v>
      </c>
      <c r="G235" s="1609">
        <v>33850</v>
      </c>
      <c r="H235" s="1609">
        <v>36350</v>
      </c>
      <c r="I235" s="1609">
        <v>38850</v>
      </c>
      <c r="J235" s="1609">
        <v>41350</v>
      </c>
      <c r="K235" s="1609">
        <v>13200</v>
      </c>
      <c r="L235" s="1609">
        <v>16020</v>
      </c>
      <c r="M235" s="1609">
        <v>20160</v>
      </c>
      <c r="N235" s="1609">
        <v>24300</v>
      </c>
      <c r="O235" s="1609">
        <v>28440</v>
      </c>
      <c r="P235" s="1609">
        <v>32580</v>
      </c>
      <c r="Q235" s="1609">
        <v>36730</v>
      </c>
      <c r="R235" s="1609">
        <v>40890</v>
      </c>
      <c r="S235" s="1609">
        <v>35100</v>
      </c>
      <c r="T235" s="1609">
        <v>40100</v>
      </c>
      <c r="U235" s="1609">
        <v>45100</v>
      </c>
      <c r="V235" s="1609">
        <v>50100</v>
      </c>
      <c r="W235" s="1609">
        <v>54150</v>
      </c>
      <c r="X235" s="1609">
        <v>58150</v>
      </c>
      <c r="Y235" s="1609">
        <v>62150</v>
      </c>
      <c r="Z235" s="1609">
        <v>66150</v>
      </c>
    </row>
    <row r="236" spans="2:26">
      <c r="B236" s="1613" t="s">
        <v>631</v>
      </c>
      <c r="C236" s="1609">
        <v>19500</v>
      </c>
      <c r="D236" s="1609">
        <v>22250</v>
      </c>
      <c r="E236" s="1609">
        <v>25050</v>
      </c>
      <c r="F236" s="1609">
        <v>27800</v>
      </c>
      <c r="G236" s="1609">
        <v>30050</v>
      </c>
      <c r="H236" s="1609">
        <v>32250</v>
      </c>
      <c r="I236" s="1609">
        <v>34500</v>
      </c>
      <c r="J236" s="1609">
        <v>36700</v>
      </c>
      <c r="K236" s="1609">
        <v>11880</v>
      </c>
      <c r="L236" s="1609">
        <v>16020</v>
      </c>
      <c r="M236" s="1609">
        <v>20160</v>
      </c>
      <c r="N236" s="1609">
        <v>24300</v>
      </c>
      <c r="O236" s="1609">
        <v>28440</v>
      </c>
      <c r="P236" s="1609">
        <v>32250</v>
      </c>
      <c r="Q236" s="1609">
        <v>34500</v>
      </c>
      <c r="R236" s="1609">
        <v>36700</v>
      </c>
      <c r="S236" s="1609">
        <v>31150</v>
      </c>
      <c r="T236" s="1609">
        <v>35600</v>
      </c>
      <c r="U236" s="1609">
        <v>40050</v>
      </c>
      <c r="V236" s="1609">
        <v>44500</v>
      </c>
      <c r="W236" s="1609">
        <v>48100</v>
      </c>
      <c r="X236" s="1609">
        <v>51650</v>
      </c>
      <c r="Y236" s="1609">
        <v>55200</v>
      </c>
      <c r="Z236" s="1609">
        <v>58750</v>
      </c>
    </row>
    <row r="237" spans="2:26">
      <c r="B237" s="1613" t="s">
        <v>632</v>
      </c>
      <c r="C237" s="1609">
        <v>25800</v>
      </c>
      <c r="D237" s="1609">
        <v>29450</v>
      </c>
      <c r="E237" s="1609">
        <v>33150</v>
      </c>
      <c r="F237" s="1609">
        <v>36800</v>
      </c>
      <c r="G237" s="1609">
        <v>39750</v>
      </c>
      <c r="H237" s="1609">
        <v>42700</v>
      </c>
      <c r="I237" s="1609">
        <v>45650</v>
      </c>
      <c r="J237" s="1609">
        <v>48600</v>
      </c>
      <c r="K237" s="1609">
        <v>15500</v>
      </c>
      <c r="L237" s="1609">
        <v>17700</v>
      </c>
      <c r="M237" s="1609">
        <v>20160</v>
      </c>
      <c r="N237" s="1609">
        <v>24300</v>
      </c>
      <c r="O237" s="1609">
        <v>28440</v>
      </c>
      <c r="P237" s="1609">
        <v>32580</v>
      </c>
      <c r="Q237" s="1609">
        <v>36730</v>
      </c>
      <c r="R237" s="1609">
        <v>40890</v>
      </c>
      <c r="S237" s="1609">
        <v>41250</v>
      </c>
      <c r="T237" s="1609">
        <v>47150</v>
      </c>
      <c r="U237" s="1609">
        <v>53050</v>
      </c>
      <c r="V237" s="1609">
        <v>58900</v>
      </c>
      <c r="W237" s="1609">
        <v>63650</v>
      </c>
      <c r="X237" s="1609">
        <v>68350</v>
      </c>
      <c r="Y237" s="1609">
        <v>73050</v>
      </c>
      <c r="Z237" s="1609">
        <v>77750</v>
      </c>
    </row>
    <row r="238" spans="2:26">
      <c r="B238" s="1613" t="s">
        <v>633</v>
      </c>
      <c r="C238" s="1609">
        <v>19500</v>
      </c>
      <c r="D238" s="1609">
        <v>22250</v>
      </c>
      <c r="E238" s="1609">
        <v>25050</v>
      </c>
      <c r="F238" s="1609">
        <v>27800</v>
      </c>
      <c r="G238" s="1609">
        <v>30050</v>
      </c>
      <c r="H238" s="1609">
        <v>32250</v>
      </c>
      <c r="I238" s="1609">
        <v>34500</v>
      </c>
      <c r="J238" s="1609">
        <v>36700</v>
      </c>
      <c r="K238" s="1609">
        <v>11880</v>
      </c>
      <c r="L238" s="1609">
        <v>16020</v>
      </c>
      <c r="M238" s="1609">
        <v>20160</v>
      </c>
      <c r="N238" s="1609">
        <v>24300</v>
      </c>
      <c r="O238" s="1609">
        <v>28440</v>
      </c>
      <c r="P238" s="1609">
        <v>32250</v>
      </c>
      <c r="Q238" s="1609">
        <v>34500</v>
      </c>
      <c r="R238" s="1609">
        <v>36700</v>
      </c>
      <c r="S238" s="1609">
        <v>31150</v>
      </c>
      <c r="T238" s="1609">
        <v>35600</v>
      </c>
      <c r="U238" s="1609">
        <v>40050</v>
      </c>
      <c r="V238" s="1609">
        <v>44500</v>
      </c>
      <c r="W238" s="1609">
        <v>48100</v>
      </c>
      <c r="X238" s="1609">
        <v>51650</v>
      </c>
      <c r="Y238" s="1609">
        <v>55200</v>
      </c>
      <c r="Z238" s="1609">
        <v>58750</v>
      </c>
    </row>
    <row r="239" spans="2:26">
      <c r="B239" s="1613" t="s">
        <v>634</v>
      </c>
      <c r="C239" s="1609">
        <v>21250</v>
      </c>
      <c r="D239" s="1609">
        <v>24300</v>
      </c>
      <c r="E239" s="1609">
        <v>27350</v>
      </c>
      <c r="F239" s="1609">
        <v>30350</v>
      </c>
      <c r="G239" s="1609">
        <v>32800</v>
      </c>
      <c r="H239" s="1609">
        <v>35250</v>
      </c>
      <c r="I239" s="1609">
        <v>37650</v>
      </c>
      <c r="J239" s="1609">
        <v>40100</v>
      </c>
      <c r="K239" s="1609">
        <v>12750</v>
      </c>
      <c r="L239" s="1609">
        <v>16020</v>
      </c>
      <c r="M239" s="1609">
        <v>20160</v>
      </c>
      <c r="N239" s="1609">
        <v>24300</v>
      </c>
      <c r="O239" s="1609">
        <v>28440</v>
      </c>
      <c r="P239" s="1609">
        <v>32580</v>
      </c>
      <c r="Q239" s="1609">
        <v>36730</v>
      </c>
      <c r="R239" s="1609">
        <v>40100</v>
      </c>
      <c r="S239" s="1609">
        <v>34000</v>
      </c>
      <c r="T239" s="1609">
        <v>38850</v>
      </c>
      <c r="U239" s="1609">
        <v>43700</v>
      </c>
      <c r="V239" s="1609">
        <v>48550</v>
      </c>
      <c r="W239" s="1609">
        <v>52450</v>
      </c>
      <c r="X239" s="1609">
        <v>56350</v>
      </c>
      <c r="Y239" s="1609">
        <v>60250</v>
      </c>
      <c r="Z239" s="1609">
        <v>64100</v>
      </c>
    </row>
    <row r="240" spans="2:26">
      <c r="B240" s="1613" t="s">
        <v>635</v>
      </c>
      <c r="C240" s="1609">
        <v>24500</v>
      </c>
      <c r="D240" s="1609">
        <v>28000</v>
      </c>
      <c r="E240" s="1609">
        <v>31500</v>
      </c>
      <c r="F240" s="1609">
        <v>34950</v>
      </c>
      <c r="G240" s="1609">
        <v>37750</v>
      </c>
      <c r="H240" s="1609">
        <v>40550</v>
      </c>
      <c r="I240" s="1609">
        <v>43350</v>
      </c>
      <c r="J240" s="1609">
        <v>46150</v>
      </c>
      <c r="K240" s="1609">
        <v>14700</v>
      </c>
      <c r="L240" s="1609">
        <v>16800</v>
      </c>
      <c r="M240" s="1609">
        <v>20160</v>
      </c>
      <c r="N240" s="1609">
        <v>24300</v>
      </c>
      <c r="O240" s="1609">
        <v>28440</v>
      </c>
      <c r="P240" s="1609">
        <v>32580</v>
      </c>
      <c r="Q240" s="1609">
        <v>36730</v>
      </c>
      <c r="R240" s="1609">
        <v>40890</v>
      </c>
      <c r="S240" s="1609">
        <v>39150</v>
      </c>
      <c r="T240" s="1609">
        <v>44750</v>
      </c>
      <c r="U240" s="1609">
        <v>50350</v>
      </c>
      <c r="V240" s="1609">
        <v>55900</v>
      </c>
      <c r="W240" s="1609">
        <v>60400</v>
      </c>
      <c r="X240" s="1609">
        <v>64850</v>
      </c>
      <c r="Y240" s="1609">
        <v>69350</v>
      </c>
      <c r="Z240" s="1609">
        <v>73800</v>
      </c>
    </row>
    <row r="241" spans="2:26">
      <c r="B241" s="1613" t="s">
        <v>636</v>
      </c>
      <c r="C241" s="1609">
        <v>22900</v>
      </c>
      <c r="D241" s="1609">
        <v>26200</v>
      </c>
      <c r="E241" s="1609">
        <v>29450</v>
      </c>
      <c r="F241" s="1609">
        <v>32700</v>
      </c>
      <c r="G241" s="1609">
        <v>35350</v>
      </c>
      <c r="H241" s="1609">
        <v>37950</v>
      </c>
      <c r="I241" s="1609">
        <v>40550</v>
      </c>
      <c r="J241" s="1609">
        <v>43200</v>
      </c>
      <c r="K241" s="1609">
        <v>13750</v>
      </c>
      <c r="L241" s="1609">
        <v>16020</v>
      </c>
      <c r="M241" s="1609">
        <v>20160</v>
      </c>
      <c r="N241" s="1609">
        <v>24300</v>
      </c>
      <c r="O241" s="1609">
        <v>28440</v>
      </c>
      <c r="P241" s="1609">
        <v>32580</v>
      </c>
      <c r="Q241" s="1609">
        <v>36730</v>
      </c>
      <c r="R241" s="1609">
        <v>40890</v>
      </c>
      <c r="S241" s="1609">
        <v>36650</v>
      </c>
      <c r="T241" s="1609">
        <v>41850</v>
      </c>
      <c r="U241" s="1609">
        <v>47100</v>
      </c>
      <c r="V241" s="1609">
        <v>52300</v>
      </c>
      <c r="W241" s="1609">
        <v>56500</v>
      </c>
      <c r="X241" s="1609">
        <v>60700</v>
      </c>
      <c r="Y241" s="1609">
        <v>64900</v>
      </c>
      <c r="Z241" s="1609">
        <v>69050</v>
      </c>
    </row>
    <row r="242" spans="2:26">
      <c r="B242" s="1613" t="s">
        <v>637</v>
      </c>
      <c r="C242" s="1609">
        <v>19500</v>
      </c>
      <c r="D242" s="1609">
        <v>22250</v>
      </c>
      <c r="E242" s="1609">
        <v>25050</v>
      </c>
      <c r="F242" s="1609">
        <v>27800</v>
      </c>
      <c r="G242" s="1609">
        <v>30050</v>
      </c>
      <c r="H242" s="1609">
        <v>32250</v>
      </c>
      <c r="I242" s="1609">
        <v>34500</v>
      </c>
      <c r="J242" s="1609">
        <v>36700</v>
      </c>
      <c r="K242" s="1609">
        <v>11880</v>
      </c>
      <c r="L242" s="1609">
        <v>16020</v>
      </c>
      <c r="M242" s="1609">
        <v>20160</v>
      </c>
      <c r="N242" s="1609">
        <v>24300</v>
      </c>
      <c r="O242" s="1609">
        <v>28440</v>
      </c>
      <c r="P242" s="1609">
        <v>32250</v>
      </c>
      <c r="Q242" s="1609">
        <v>34500</v>
      </c>
      <c r="R242" s="1609">
        <v>36700</v>
      </c>
      <c r="S242" s="1609">
        <v>31150</v>
      </c>
      <c r="T242" s="1609">
        <v>35600</v>
      </c>
      <c r="U242" s="1609">
        <v>40050</v>
      </c>
      <c r="V242" s="1609">
        <v>44500</v>
      </c>
      <c r="W242" s="1609">
        <v>48100</v>
      </c>
      <c r="X242" s="1609">
        <v>51650</v>
      </c>
      <c r="Y242" s="1609">
        <v>55200</v>
      </c>
      <c r="Z242" s="1609">
        <v>58750</v>
      </c>
    </row>
    <row r="243" spans="2:26">
      <c r="B243" s="1613" t="s">
        <v>638</v>
      </c>
      <c r="C243" s="1609">
        <v>25300</v>
      </c>
      <c r="D243" s="1609">
        <v>28900</v>
      </c>
      <c r="E243" s="1609">
        <v>32500</v>
      </c>
      <c r="F243" s="1609">
        <v>36100</v>
      </c>
      <c r="G243" s="1609">
        <v>39000</v>
      </c>
      <c r="H243" s="1609">
        <v>41900</v>
      </c>
      <c r="I243" s="1609">
        <v>44800</v>
      </c>
      <c r="J243" s="1609">
        <v>47700</v>
      </c>
      <c r="K243" s="1609">
        <v>15200</v>
      </c>
      <c r="L243" s="1609">
        <v>17350</v>
      </c>
      <c r="M243" s="1609">
        <v>20160</v>
      </c>
      <c r="N243" s="1609">
        <v>24300</v>
      </c>
      <c r="O243" s="1609">
        <v>28440</v>
      </c>
      <c r="P243" s="1609">
        <v>32580</v>
      </c>
      <c r="Q243" s="1609">
        <v>36730</v>
      </c>
      <c r="R243" s="1609">
        <v>40890</v>
      </c>
      <c r="S243" s="1609">
        <v>40450</v>
      </c>
      <c r="T243" s="1609">
        <v>46200</v>
      </c>
      <c r="U243" s="1609">
        <v>52000</v>
      </c>
      <c r="V243" s="1609">
        <v>57750</v>
      </c>
      <c r="W243" s="1609">
        <v>62400</v>
      </c>
      <c r="X243" s="1609">
        <v>67000</v>
      </c>
      <c r="Y243" s="1609">
        <v>71650</v>
      </c>
      <c r="Z243" s="1609">
        <v>76250</v>
      </c>
    </row>
    <row r="244" spans="2:26">
      <c r="B244" s="1613" t="s">
        <v>639</v>
      </c>
      <c r="C244" s="1609">
        <v>25300</v>
      </c>
      <c r="D244" s="1609">
        <v>28900</v>
      </c>
      <c r="E244" s="1609">
        <v>32500</v>
      </c>
      <c r="F244" s="1609">
        <v>36100</v>
      </c>
      <c r="G244" s="1609">
        <v>39000</v>
      </c>
      <c r="H244" s="1609">
        <v>41900</v>
      </c>
      <c r="I244" s="1609">
        <v>44800</v>
      </c>
      <c r="J244" s="1609">
        <v>47700</v>
      </c>
      <c r="K244" s="1609">
        <v>15200</v>
      </c>
      <c r="L244" s="1609">
        <v>17350</v>
      </c>
      <c r="M244" s="1609">
        <v>20160</v>
      </c>
      <c r="N244" s="1609">
        <v>24300</v>
      </c>
      <c r="O244" s="1609">
        <v>28440</v>
      </c>
      <c r="P244" s="1609">
        <v>32580</v>
      </c>
      <c r="Q244" s="1609">
        <v>36730</v>
      </c>
      <c r="R244" s="1609">
        <v>40890</v>
      </c>
      <c r="S244" s="1609">
        <v>40450</v>
      </c>
      <c r="T244" s="1609">
        <v>46200</v>
      </c>
      <c r="U244" s="1609">
        <v>52000</v>
      </c>
      <c r="V244" s="1609">
        <v>57750</v>
      </c>
      <c r="W244" s="1609">
        <v>62400</v>
      </c>
      <c r="X244" s="1609">
        <v>67000</v>
      </c>
      <c r="Y244" s="1609">
        <v>71650</v>
      </c>
      <c r="Z244" s="1609">
        <v>76250</v>
      </c>
    </row>
    <row r="245" spans="2:26">
      <c r="B245" s="1613" t="s">
        <v>640</v>
      </c>
      <c r="C245" s="1609">
        <v>30450</v>
      </c>
      <c r="D245" s="1609">
        <v>34800</v>
      </c>
      <c r="E245" s="1609">
        <v>39150</v>
      </c>
      <c r="F245" s="1609">
        <v>43500</v>
      </c>
      <c r="G245" s="1609">
        <v>47000</v>
      </c>
      <c r="H245" s="1609">
        <v>50500</v>
      </c>
      <c r="I245" s="1609">
        <v>53950</v>
      </c>
      <c r="J245" s="1609">
        <v>57450</v>
      </c>
      <c r="K245" s="1609">
        <v>18300</v>
      </c>
      <c r="L245" s="1609">
        <v>20900</v>
      </c>
      <c r="M245" s="1609">
        <v>23500</v>
      </c>
      <c r="N245" s="1609">
        <v>26100</v>
      </c>
      <c r="O245" s="1609">
        <v>28440</v>
      </c>
      <c r="P245" s="1609">
        <v>32580</v>
      </c>
      <c r="Q245" s="1609">
        <v>36730</v>
      </c>
      <c r="R245" s="1609">
        <v>40890</v>
      </c>
      <c r="S245" s="1609">
        <v>46000</v>
      </c>
      <c r="T245" s="1609">
        <v>52600</v>
      </c>
      <c r="U245" s="1609">
        <v>59150</v>
      </c>
      <c r="V245" s="1609">
        <v>65700</v>
      </c>
      <c r="W245" s="1609">
        <v>71000</v>
      </c>
      <c r="X245" s="1609">
        <v>76250</v>
      </c>
      <c r="Y245" s="1609">
        <v>81500</v>
      </c>
      <c r="Z245" s="1609">
        <v>86750</v>
      </c>
    </row>
    <row r="246" spans="2:26">
      <c r="B246" s="1613" t="s">
        <v>641</v>
      </c>
      <c r="C246" s="1609">
        <v>25300</v>
      </c>
      <c r="D246" s="1609">
        <v>28900</v>
      </c>
      <c r="E246" s="1609">
        <v>32500</v>
      </c>
      <c r="F246" s="1609">
        <v>36100</v>
      </c>
      <c r="G246" s="1609">
        <v>39000</v>
      </c>
      <c r="H246" s="1609">
        <v>41900</v>
      </c>
      <c r="I246" s="1609">
        <v>44800</v>
      </c>
      <c r="J246" s="1609">
        <v>47700</v>
      </c>
      <c r="K246" s="1609">
        <v>15200</v>
      </c>
      <c r="L246" s="1609">
        <v>17350</v>
      </c>
      <c r="M246" s="1609">
        <v>20160</v>
      </c>
      <c r="N246" s="1609">
        <v>24300</v>
      </c>
      <c r="O246" s="1609">
        <v>28440</v>
      </c>
      <c r="P246" s="1609">
        <v>32580</v>
      </c>
      <c r="Q246" s="1609">
        <v>36730</v>
      </c>
      <c r="R246" s="1609">
        <v>40890</v>
      </c>
      <c r="S246" s="1609">
        <v>40450</v>
      </c>
      <c r="T246" s="1609">
        <v>46200</v>
      </c>
      <c r="U246" s="1609">
        <v>52000</v>
      </c>
      <c r="V246" s="1609">
        <v>57750</v>
      </c>
      <c r="W246" s="1609">
        <v>62400</v>
      </c>
      <c r="X246" s="1609">
        <v>67000</v>
      </c>
      <c r="Y246" s="1609">
        <v>71650</v>
      </c>
      <c r="Z246" s="1609">
        <v>76250</v>
      </c>
    </row>
    <row r="247" spans="2:26">
      <c r="B247" s="1613" t="s">
        <v>642</v>
      </c>
      <c r="C247" s="1609">
        <v>27050</v>
      </c>
      <c r="D247" s="1609">
        <v>30900</v>
      </c>
      <c r="E247" s="1609">
        <v>34750</v>
      </c>
      <c r="F247" s="1609">
        <v>38600</v>
      </c>
      <c r="G247" s="1609">
        <v>41700</v>
      </c>
      <c r="H247" s="1609">
        <v>44800</v>
      </c>
      <c r="I247" s="1609">
        <v>47900</v>
      </c>
      <c r="J247" s="1609">
        <v>51000</v>
      </c>
      <c r="K247" s="1609">
        <v>16250</v>
      </c>
      <c r="L247" s="1609">
        <v>18550</v>
      </c>
      <c r="M247" s="1609">
        <v>20850</v>
      </c>
      <c r="N247" s="1609">
        <v>24300</v>
      </c>
      <c r="O247" s="1609">
        <v>28440</v>
      </c>
      <c r="P247" s="1609">
        <v>32580</v>
      </c>
      <c r="Q247" s="1609">
        <v>36730</v>
      </c>
      <c r="R247" s="1609">
        <v>40890</v>
      </c>
      <c r="S247" s="1609">
        <v>43250</v>
      </c>
      <c r="T247" s="1609">
        <v>49400</v>
      </c>
      <c r="U247" s="1609">
        <v>55600</v>
      </c>
      <c r="V247" s="1609">
        <v>61750</v>
      </c>
      <c r="W247" s="1609">
        <v>66700</v>
      </c>
      <c r="X247" s="1609">
        <v>71650</v>
      </c>
      <c r="Y247" s="1609">
        <v>76600</v>
      </c>
      <c r="Z247" s="1609">
        <v>81550</v>
      </c>
    </row>
    <row r="248" spans="2:26">
      <c r="B248" s="1613" t="s">
        <v>643</v>
      </c>
      <c r="C248" s="1609">
        <v>25300</v>
      </c>
      <c r="D248" s="1609">
        <v>28900</v>
      </c>
      <c r="E248" s="1609">
        <v>32500</v>
      </c>
      <c r="F248" s="1609">
        <v>36100</v>
      </c>
      <c r="G248" s="1609">
        <v>39000</v>
      </c>
      <c r="H248" s="1609">
        <v>41900</v>
      </c>
      <c r="I248" s="1609">
        <v>44800</v>
      </c>
      <c r="J248" s="1609">
        <v>47700</v>
      </c>
      <c r="K248" s="1609">
        <v>15200</v>
      </c>
      <c r="L248" s="1609">
        <v>17350</v>
      </c>
      <c r="M248" s="1609">
        <v>20160</v>
      </c>
      <c r="N248" s="1609">
        <v>24300</v>
      </c>
      <c r="O248" s="1609">
        <v>28440</v>
      </c>
      <c r="P248" s="1609">
        <v>32580</v>
      </c>
      <c r="Q248" s="1609">
        <v>36730</v>
      </c>
      <c r="R248" s="1609">
        <v>40890</v>
      </c>
      <c r="S248" s="1609">
        <v>40450</v>
      </c>
      <c r="T248" s="1609">
        <v>46200</v>
      </c>
      <c r="U248" s="1609">
        <v>52000</v>
      </c>
      <c r="V248" s="1609">
        <v>57750</v>
      </c>
      <c r="W248" s="1609">
        <v>62400</v>
      </c>
      <c r="X248" s="1609">
        <v>67000</v>
      </c>
      <c r="Y248" s="1609">
        <v>71650</v>
      </c>
      <c r="Z248" s="1609">
        <v>76250</v>
      </c>
    </row>
    <row r="249" spans="2:26">
      <c r="B249" s="1613" t="s">
        <v>644</v>
      </c>
      <c r="C249" s="1609">
        <v>25300</v>
      </c>
      <c r="D249" s="1609">
        <v>28900</v>
      </c>
      <c r="E249" s="1609">
        <v>32500</v>
      </c>
      <c r="F249" s="1609">
        <v>36100</v>
      </c>
      <c r="G249" s="1609">
        <v>39000</v>
      </c>
      <c r="H249" s="1609">
        <v>41900</v>
      </c>
      <c r="I249" s="1609">
        <v>44800</v>
      </c>
      <c r="J249" s="1609">
        <v>47700</v>
      </c>
      <c r="K249" s="1609">
        <v>15200</v>
      </c>
      <c r="L249" s="1609">
        <v>17350</v>
      </c>
      <c r="M249" s="1609">
        <v>20160</v>
      </c>
      <c r="N249" s="1609">
        <v>24300</v>
      </c>
      <c r="O249" s="1609">
        <v>28440</v>
      </c>
      <c r="P249" s="1609">
        <v>32580</v>
      </c>
      <c r="Q249" s="1609">
        <v>36730</v>
      </c>
      <c r="R249" s="1609">
        <v>40890</v>
      </c>
      <c r="S249" s="1609">
        <v>40450</v>
      </c>
      <c r="T249" s="1609">
        <v>46200</v>
      </c>
      <c r="U249" s="1609">
        <v>52000</v>
      </c>
      <c r="V249" s="1609">
        <v>57750</v>
      </c>
      <c r="W249" s="1609">
        <v>62400</v>
      </c>
      <c r="X249" s="1609">
        <v>67000</v>
      </c>
      <c r="Y249" s="1609">
        <v>71650</v>
      </c>
      <c r="Z249" s="1609">
        <v>76250</v>
      </c>
    </row>
    <row r="250" spans="2:26">
      <c r="B250" s="1613" t="s">
        <v>645</v>
      </c>
      <c r="C250" s="1609">
        <v>25300</v>
      </c>
      <c r="D250" s="1609">
        <v>28900</v>
      </c>
      <c r="E250" s="1609">
        <v>32500</v>
      </c>
      <c r="F250" s="1609">
        <v>36100</v>
      </c>
      <c r="G250" s="1609">
        <v>39000</v>
      </c>
      <c r="H250" s="1609">
        <v>41900</v>
      </c>
      <c r="I250" s="1609">
        <v>44800</v>
      </c>
      <c r="J250" s="1609">
        <v>47700</v>
      </c>
      <c r="K250" s="1609">
        <v>15200</v>
      </c>
      <c r="L250" s="1609">
        <v>17350</v>
      </c>
      <c r="M250" s="1609">
        <v>20160</v>
      </c>
      <c r="N250" s="1609">
        <v>24300</v>
      </c>
      <c r="O250" s="1609">
        <v>28440</v>
      </c>
      <c r="P250" s="1609">
        <v>32580</v>
      </c>
      <c r="Q250" s="1609">
        <v>36730</v>
      </c>
      <c r="R250" s="1609">
        <v>40890</v>
      </c>
      <c r="S250" s="1609">
        <v>40450</v>
      </c>
      <c r="T250" s="1609">
        <v>46200</v>
      </c>
      <c r="U250" s="1609">
        <v>52000</v>
      </c>
      <c r="V250" s="1609">
        <v>57750</v>
      </c>
      <c r="W250" s="1609">
        <v>62400</v>
      </c>
      <c r="X250" s="1609">
        <v>67000</v>
      </c>
      <c r="Y250" s="1609">
        <v>71650</v>
      </c>
      <c r="Z250" s="1609">
        <v>76250</v>
      </c>
    </row>
    <row r="251" spans="2:26">
      <c r="B251" s="1613" t="s">
        <v>646</v>
      </c>
      <c r="C251" s="1609">
        <v>25300</v>
      </c>
      <c r="D251" s="1609">
        <v>28900</v>
      </c>
      <c r="E251" s="1609">
        <v>32500</v>
      </c>
      <c r="F251" s="1609">
        <v>36100</v>
      </c>
      <c r="G251" s="1609">
        <v>39000</v>
      </c>
      <c r="H251" s="1609">
        <v>41900</v>
      </c>
      <c r="I251" s="1609">
        <v>44800</v>
      </c>
      <c r="J251" s="1609">
        <v>47700</v>
      </c>
      <c r="K251" s="1609">
        <v>15200</v>
      </c>
      <c r="L251" s="1609">
        <v>17350</v>
      </c>
      <c r="M251" s="1609">
        <v>20160</v>
      </c>
      <c r="N251" s="1609">
        <v>24300</v>
      </c>
      <c r="O251" s="1609">
        <v>28440</v>
      </c>
      <c r="P251" s="1609">
        <v>32580</v>
      </c>
      <c r="Q251" s="1609">
        <v>36730</v>
      </c>
      <c r="R251" s="1609">
        <v>40890</v>
      </c>
      <c r="S251" s="1609">
        <v>40450</v>
      </c>
      <c r="T251" s="1609">
        <v>46200</v>
      </c>
      <c r="U251" s="1609">
        <v>52000</v>
      </c>
      <c r="V251" s="1609">
        <v>57750</v>
      </c>
      <c r="W251" s="1609">
        <v>62400</v>
      </c>
      <c r="X251" s="1609">
        <v>67000</v>
      </c>
      <c r="Y251" s="1609">
        <v>71650</v>
      </c>
      <c r="Z251" s="1609">
        <v>76250</v>
      </c>
    </row>
    <row r="252" spans="2:26">
      <c r="B252" s="1613" t="s">
        <v>647</v>
      </c>
      <c r="C252" s="1609">
        <v>25300</v>
      </c>
      <c r="D252" s="1609">
        <v>28900</v>
      </c>
      <c r="E252" s="1609">
        <v>32500</v>
      </c>
      <c r="F252" s="1609">
        <v>36100</v>
      </c>
      <c r="G252" s="1609">
        <v>39000</v>
      </c>
      <c r="H252" s="1609">
        <v>41900</v>
      </c>
      <c r="I252" s="1609">
        <v>44800</v>
      </c>
      <c r="J252" s="1609">
        <v>47700</v>
      </c>
      <c r="K252" s="1609">
        <v>15200</v>
      </c>
      <c r="L252" s="1609">
        <v>17350</v>
      </c>
      <c r="M252" s="1609">
        <v>20160</v>
      </c>
      <c r="N252" s="1609">
        <v>24300</v>
      </c>
      <c r="O252" s="1609">
        <v>28440</v>
      </c>
      <c r="P252" s="1609">
        <v>32580</v>
      </c>
      <c r="Q252" s="1609">
        <v>36730</v>
      </c>
      <c r="R252" s="1609">
        <v>40890</v>
      </c>
      <c r="S252" s="1609">
        <v>40450</v>
      </c>
      <c r="T252" s="1609">
        <v>46200</v>
      </c>
      <c r="U252" s="1609">
        <v>52000</v>
      </c>
      <c r="V252" s="1609">
        <v>57750</v>
      </c>
      <c r="W252" s="1609">
        <v>62400</v>
      </c>
      <c r="X252" s="1609">
        <v>67000</v>
      </c>
      <c r="Y252" s="1609">
        <v>71650</v>
      </c>
      <c r="Z252" s="1609">
        <v>76250</v>
      </c>
    </row>
    <row r="253" spans="2:26">
      <c r="B253" s="1613" t="s">
        <v>648</v>
      </c>
      <c r="C253" s="1609">
        <v>26500</v>
      </c>
      <c r="D253" s="1609">
        <v>30250</v>
      </c>
      <c r="E253" s="1609">
        <v>34050</v>
      </c>
      <c r="F253" s="1609">
        <v>37800</v>
      </c>
      <c r="G253" s="1609">
        <v>40850</v>
      </c>
      <c r="H253" s="1609">
        <v>43850</v>
      </c>
      <c r="I253" s="1609">
        <v>46900</v>
      </c>
      <c r="J253" s="1609">
        <v>49900</v>
      </c>
      <c r="K253" s="1609">
        <v>15900</v>
      </c>
      <c r="L253" s="1609">
        <v>18200</v>
      </c>
      <c r="M253" s="1609">
        <v>20450</v>
      </c>
      <c r="N253" s="1609">
        <v>24300</v>
      </c>
      <c r="O253" s="1609">
        <v>28440</v>
      </c>
      <c r="P253" s="1609">
        <v>32580</v>
      </c>
      <c r="Q253" s="1609">
        <v>36730</v>
      </c>
      <c r="R253" s="1609">
        <v>40890</v>
      </c>
      <c r="S253" s="1609">
        <v>42350</v>
      </c>
      <c r="T253" s="1609">
        <v>48400</v>
      </c>
      <c r="U253" s="1609">
        <v>54450</v>
      </c>
      <c r="V253" s="1609">
        <v>60450</v>
      </c>
      <c r="W253" s="1609">
        <v>65300</v>
      </c>
      <c r="X253" s="1609">
        <v>70150</v>
      </c>
      <c r="Y253" s="1609">
        <v>75000</v>
      </c>
      <c r="Z253" s="1609">
        <v>79800</v>
      </c>
    </row>
    <row r="254" spans="2:26">
      <c r="B254" s="1613" t="s">
        <v>649</v>
      </c>
      <c r="C254" s="1609">
        <v>25700</v>
      </c>
      <c r="D254" s="1609">
        <v>29400</v>
      </c>
      <c r="E254" s="1609">
        <v>33050</v>
      </c>
      <c r="F254" s="1609">
        <v>36700</v>
      </c>
      <c r="G254" s="1609">
        <v>39650</v>
      </c>
      <c r="H254" s="1609">
        <v>42600</v>
      </c>
      <c r="I254" s="1609">
        <v>45550</v>
      </c>
      <c r="J254" s="1609">
        <v>48450</v>
      </c>
      <c r="K254" s="1609">
        <v>15400</v>
      </c>
      <c r="L254" s="1609">
        <v>17600</v>
      </c>
      <c r="M254" s="1609">
        <v>20160</v>
      </c>
      <c r="N254" s="1609">
        <v>24300</v>
      </c>
      <c r="O254" s="1609">
        <v>28440</v>
      </c>
      <c r="P254" s="1609">
        <v>32580</v>
      </c>
      <c r="Q254" s="1609">
        <v>36730</v>
      </c>
      <c r="R254" s="1609">
        <v>40890</v>
      </c>
      <c r="S254" s="1609">
        <v>41100</v>
      </c>
      <c r="T254" s="1609">
        <v>47000</v>
      </c>
      <c r="U254" s="1609">
        <v>52850</v>
      </c>
      <c r="V254" s="1609">
        <v>58700</v>
      </c>
      <c r="W254" s="1609">
        <v>63400</v>
      </c>
      <c r="X254" s="1609">
        <v>68100</v>
      </c>
      <c r="Y254" s="1609">
        <v>72800</v>
      </c>
      <c r="Z254" s="1609">
        <v>77500</v>
      </c>
    </row>
    <row r="255" spans="2:26">
      <c r="B255" s="1613" t="s">
        <v>650</v>
      </c>
      <c r="C255" s="1609">
        <v>25700</v>
      </c>
      <c r="D255" s="1609">
        <v>29400</v>
      </c>
      <c r="E255" s="1609">
        <v>33050</v>
      </c>
      <c r="F255" s="1609">
        <v>36700</v>
      </c>
      <c r="G255" s="1609">
        <v>39650</v>
      </c>
      <c r="H255" s="1609">
        <v>42600</v>
      </c>
      <c r="I255" s="1609">
        <v>45550</v>
      </c>
      <c r="J255" s="1609">
        <v>48450</v>
      </c>
      <c r="K255" s="1609">
        <v>15400</v>
      </c>
      <c r="L255" s="1609">
        <v>17600</v>
      </c>
      <c r="M255" s="1609">
        <v>20160</v>
      </c>
      <c r="N255" s="1609">
        <v>24300</v>
      </c>
      <c r="O255" s="1609">
        <v>28440</v>
      </c>
      <c r="P255" s="1609">
        <v>32580</v>
      </c>
      <c r="Q255" s="1609">
        <v>36730</v>
      </c>
      <c r="R255" s="1609">
        <v>40890</v>
      </c>
      <c r="S255" s="1609">
        <v>41100</v>
      </c>
      <c r="T255" s="1609">
        <v>47000</v>
      </c>
      <c r="U255" s="1609">
        <v>52850</v>
      </c>
      <c r="V255" s="1609">
        <v>58700</v>
      </c>
      <c r="W255" s="1609">
        <v>63400</v>
      </c>
      <c r="X255" s="1609">
        <v>68100</v>
      </c>
      <c r="Y255" s="1609">
        <v>72800</v>
      </c>
      <c r="Z255" s="1609">
        <v>77500</v>
      </c>
    </row>
    <row r="256" spans="2:26">
      <c r="B256" s="1613" t="s">
        <v>651</v>
      </c>
      <c r="C256" s="1609">
        <v>25300</v>
      </c>
      <c r="D256" s="1609">
        <v>28900</v>
      </c>
      <c r="E256" s="1609">
        <v>32500</v>
      </c>
      <c r="F256" s="1609">
        <v>36100</v>
      </c>
      <c r="G256" s="1609">
        <v>39000</v>
      </c>
      <c r="H256" s="1609">
        <v>41900</v>
      </c>
      <c r="I256" s="1609">
        <v>44800</v>
      </c>
      <c r="J256" s="1609">
        <v>47700</v>
      </c>
      <c r="K256" s="1609">
        <v>15200</v>
      </c>
      <c r="L256" s="1609">
        <v>17350</v>
      </c>
      <c r="M256" s="1609">
        <v>20160</v>
      </c>
      <c r="N256" s="1609">
        <v>24300</v>
      </c>
      <c r="O256" s="1609">
        <v>28440</v>
      </c>
      <c r="P256" s="1609">
        <v>32580</v>
      </c>
      <c r="Q256" s="1609">
        <v>36730</v>
      </c>
      <c r="R256" s="1609">
        <v>40890</v>
      </c>
      <c r="S256" s="1609">
        <v>40450</v>
      </c>
      <c r="T256" s="1609">
        <v>46200</v>
      </c>
      <c r="U256" s="1609">
        <v>52000</v>
      </c>
      <c r="V256" s="1609">
        <v>57750</v>
      </c>
      <c r="W256" s="1609">
        <v>62400</v>
      </c>
      <c r="X256" s="1609">
        <v>67000</v>
      </c>
      <c r="Y256" s="1609">
        <v>71650</v>
      </c>
      <c r="Z256" s="1609">
        <v>76250</v>
      </c>
    </row>
    <row r="257" spans="2:26">
      <c r="B257" s="1613" t="s">
        <v>652</v>
      </c>
      <c r="C257" s="1609">
        <v>25300</v>
      </c>
      <c r="D257" s="1609">
        <v>28900</v>
      </c>
      <c r="E257" s="1609">
        <v>32500</v>
      </c>
      <c r="F257" s="1609">
        <v>36100</v>
      </c>
      <c r="G257" s="1609">
        <v>39000</v>
      </c>
      <c r="H257" s="1609">
        <v>41900</v>
      </c>
      <c r="I257" s="1609">
        <v>44800</v>
      </c>
      <c r="J257" s="1609">
        <v>47700</v>
      </c>
      <c r="K257" s="1609">
        <v>15200</v>
      </c>
      <c r="L257" s="1609">
        <v>17350</v>
      </c>
      <c r="M257" s="1609">
        <v>20160</v>
      </c>
      <c r="N257" s="1609">
        <v>24300</v>
      </c>
      <c r="O257" s="1609">
        <v>28440</v>
      </c>
      <c r="P257" s="1609">
        <v>32580</v>
      </c>
      <c r="Q257" s="1609">
        <v>36730</v>
      </c>
      <c r="R257" s="1609">
        <v>40890</v>
      </c>
      <c r="S257" s="1609">
        <v>40450</v>
      </c>
      <c r="T257" s="1609">
        <v>46200</v>
      </c>
      <c r="U257" s="1609">
        <v>52000</v>
      </c>
      <c r="V257" s="1609">
        <v>57750</v>
      </c>
      <c r="W257" s="1609">
        <v>62400</v>
      </c>
      <c r="X257" s="1609">
        <v>67000</v>
      </c>
      <c r="Y257" s="1609">
        <v>71650</v>
      </c>
      <c r="Z257" s="1609">
        <v>76250</v>
      </c>
    </row>
    <row r="258" spans="2:26">
      <c r="B258" s="1613" t="s">
        <v>653</v>
      </c>
      <c r="C258" s="1609">
        <v>25300</v>
      </c>
      <c r="D258" s="1609">
        <v>28900</v>
      </c>
      <c r="E258" s="1609">
        <v>32500</v>
      </c>
      <c r="F258" s="1609">
        <v>36100</v>
      </c>
      <c r="G258" s="1609">
        <v>39000</v>
      </c>
      <c r="H258" s="1609">
        <v>41900</v>
      </c>
      <c r="I258" s="1609">
        <v>44800</v>
      </c>
      <c r="J258" s="1609">
        <v>47700</v>
      </c>
      <c r="K258" s="1609">
        <v>15200</v>
      </c>
      <c r="L258" s="1609">
        <v>17350</v>
      </c>
      <c r="M258" s="1609">
        <v>20160</v>
      </c>
      <c r="N258" s="1609">
        <v>24300</v>
      </c>
      <c r="O258" s="1609">
        <v>28440</v>
      </c>
      <c r="P258" s="1609">
        <v>32580</v>
      </c>
      <c r="Q258" s="1609">
        <v>36730</v>
      </c>
      <c r="R258" s="1609">
        <v>40890</v>
      </c>
      <c r="S258" s="1609">
        <v>40450</v>
      </c>
      <c r="T258" s="1609">
        <v>46200</v>
      </c>
      <c r="U258" s="1609">
        <v>52000</v>
      </c>
      <c r="V258" s="1609">
        <v>57750</v>
      </c>
      <c r="W258" s="1609">
        <v>62400</v>
      </c>
      <c r="X258" s="1609">
        <v>67000</v>
      </c>
      <c r="Y258" s="1609">
        <v>71650</v>
      </c>
      <c r="Z258" s="1609">
        <v>76250</v>
      </c>
    </row>
    <row r="259" spans="2:26">
      <c r="B259" s="1613" t="s">
        <v>654</v>
      </c>
      <c r="C259" s="1609">
        <v>25300</v>
      </c>
      <c r="D259" s="1609">
        <v>28900</v>
      </c>
      <c r="E259" s="1609">
        <v>32500</v>
      </c>
      <c r="F259" s="1609">
        <v>36100</v>
      </c>
      <c r="G259" s="1609">
        <v>39000</v>
      </c>
      <c r="H259" s="1609">
        <v>41900</v>
      </c>
      <c r="I259" s="1609">
        <v>44800</v>
      </c>
      <c r="J259" s="1609">
        <v>47700</v>
      </c>
      <c r="K259" s="1609">
        <v>15200</v>
      </c>
      <c r="L259" s="1609">
        <v>17350</v>
      </c>
      <c r="M259" s="1609">
        <v>20160</v>
      </c>
      <c r="N259" s="1609">
        <v>24300</v>
      </c>
      <c r="O259" s="1609">
        <v>28440</v>
      </c>
      <c r="P259" s="1609">
        <v>32580</v>
      </c>
      <c r="Q259" s="1609">
        <v>36730</v>
      </c>
      <c r="R259" s="1609">
        <v>40890</v>
      </c>
      <c r="S259" s="1609">
        <v>40450</v>
      </c>
      <c r="T259" s="1609">
        <v>46200</v>
      </c>
      <c r="U259" s="1609">
        <v>52000</v>
      </c>
      <c r="V259" s="1609">
        <v>57750</v>
      </c>
      <c r="W259" s="1609">
        <v>62400</v>
      </c>
      <c r="X259" s="1609">
        <v>67000</v>
      </c>
      <c r="Y259" s="1609">
        <v>71650</v>
      </c>
      <c r="Z259" s="1609">
        <v>76250</v>
      </c>
    </row>
    <row r="260" spans="2:26">
      <c r="B260" s="1613" t="s">
        <v>655</v>
      </c>
      <c r="C260" s="1609">
        <v>30850</v>
      </c>
      <c r="D260" s="1609">
        <v>35250</v>
      </c>
      <c r="E260" s="1609">
        <v>39650</v>
      </c>
      <c r="F260" s="1609">
        <v>44050</v>
      </c>
      <c r="G260" s="1609">
        <v>47600</v>
      </c>
      <c r="H260" s="1609">
        <v>51100</v>
      </c>
      <c r="I260" s="1609">
        <v>54650</v>
      </c>
      <c r="J260" s="1609">
        <v>58150</v>
      </c>
      <c r="K260" s="1609">
        <v>18550</v>
      </c>
      <c r="L260" s="1609">
        <v>21200</v>
      </c>
      <c r="M260" s="1609">
        <v>23850</v>
      </c>
      <c r="N260" s="1609">
        <v>26450</v>
      </c>
      <c r="O260" s="1609">
        <v>28600</v>
      </c>
      <c r="P260" s="1609">
        <v>32580</v>
      </c>
      <c r="Q260" s="1609">
        <v>36730</v>
      </c>
      <c r="R260" s="1609">
        <v>40890</v>
      </c>
      <c r="S260" s="1609">
        <v>46000</v>
      </c>
      <c r="T260" s="1609">
        <v>52600</v>
      </c>
      <c r="U260" s="1609">
        <v>59150</v>
      </c>
      <c r="V260" s="1609">
        <v>65700</v>
      </c>
      <c r="W260" s="1609">
        <v>71000</v>
      </c>
      <c r="X260" s="1609">
        <v>76250</v>
      </c>
      <c r="Y260" s="1609">
        <v>81500</v>
      </c>
      <c r="Z260" s="1609">
        <v>86750</v>
      </c>
    </row>
    <row r="261" spans="2:26">
      <c r="B261" s="1613" t="s">
        <v>656</v>
      </c>
      <c r="C261" s="1609">
        <v>29300</v>
      </c>
      <c r="D261" s="1609">
        <v>33500</v>
      </c>
      <c r="E261" s="1609">
        <v>37700</v>
      </c>
      <c r="F261" s="1609">
        <v>41850</v>
      </c>
      <c r="G261" s="1609">
        <v>45200</v>
      </c>
      <c r="H261" s="1609">
        <v>48550</v>
      </c>
      <c r="I261" s="1609">
        <v>51900</v>
      </c>
      <c r="J261" s="1609">
        <v>55250</v>
      </c>
      <c r="K261" s="1609">
        <v>17600</v>
      </c>
      <c r="L261" s="1609">
        <v>20100</v>
      </c>
      <c r="M261" s="1609">
        <v>22600</v>
      </c>
      <c r="N261" s="1609">
        <v>25100</v>
      </c>
      <c r="O261" s="1609">
        <v>28440</v>
      </c>
      <c r="P261" s="1609">
        <v>32580</v>
      </c>
      <c r="Q261" s="1609">
        <v>36730</v>
      </c>
      <c r="R261" s="1609">
        <v>40890</v>
      </c>
      <c r="S261" s="1609">
        <v>46000</v>
      </c>
      <c r="T261" s="1609">
        <v>52600</v>
      </c>
      <c r="U261" s="1609">
        <v>59150</v>
      </c>
      <c r="V261" s="1609">
        <v>65700</v>
      </c>
      <c r="W261" s="1609">
        <v>71000</v>
      </c>
      <c r="X261" s="1609">
        <v>76250</v>
      </c>
      <c r="Y261" s="1609">
        <v>81500</v>
      </c>
      <c r="Z261" s="1609">
        <v>86750</v>
      </c>
    </row>
    <row r="262" spans="2:26">
      <c r="B262" s="1613" t="s">
        <v>657</v>
      </c>
      <c r="C262" s="1609">
        <v>30600</v>
      </c>
      <c r="D262" s="1609">
        <v>35000</v>
      </c>
      <c r="E262" s="1609">
        <v>39350</v>
      </c>
      <c r="F262" s="1609">
        <v>43700</v>
      </c>
      <c r="G262" s="1609">
        <v>47200</v>
      </c>
      <c r="H262" s="1609">
        <v>50700</v>
      </c>
      <c r="I262" s="1609">
        <v>54200</v>
      </c>
      <c r="J262" s="1609">
        <v>57700</v>
      </c>
      <c r="K262" s="1609">
        <v>18350</v>
      </c>
      <c r="L262" s="1609">
        <v>21000</v>
      </c>
      <c r="M262" s="1609">
        <v>23600</v>
      </c>
      <c r="N262" s="1609">
        <v>26200</v>
      </c>
      <c r="O262" s="1609">
        <v>28440</v>
      </c>
      <c r="P262" s="1609">
        <v>32580</v>
      </c>
      <c r="Q262" s="1609">
        <v>36730</v>
      </c>
      <c r="R262" s="1609">
        <v>40890</v>
      </c>
      <c r="S262" s="1609">
        <v>46000</v>
      </c>
      <c r="T262" s="1609">
        <v>52600</v>
      </c>
      <c r="U262" s="1609">
        <v>59150</v>
      </c>
      <c r="V262" s="1609">
        <v>65700</v>
      </c>
      <c r="W262" s="1609">
        <v>71000</v>
      </c>
      <c r="X262" s="1609">
        <v>76250</v>
      </c>
      <c r="Y262" s="1609">
        <v>81500</v>
      </c>
      <c r="Z262" s="1609">
        <v>86750</v>
      </c>
    </row>
    <row r="263" spans="2:26">
      <c r="B263" s="1613" t="s">
        <v>658</v>
      </c>
      <c r="C263" s="1609">
        <v>26250</v>
      </c>
      <c r="D263" s="1609">
        <v>30000</v>
      </c>
      <c r="E263" s="1609">
        <v>33750</v>
      </c>
      <c r="F263" s="1609">
        <v>37500</v>
      </c>
      <c r="G263" s="1609">
        <v>40500</v>
      </c>
      <c r="H263" s="1609">
        <v>43500</v>
      </c>
      <c r="I263" s="1609">
        <v>46500</v>
      </c>
      <c r="J263" s="1609">
        <v>49500</v>
      </c>
      <c r="K263" s="1609">
        <v>15750</v>
      </c>
      <c r="L263" s="1609">
        <v>18000</v>
      </c>
      <c r="M263" s="1609">
        <v>20250</v>
      </c>
      <c r="N263" s="1609">
        <v>24300</v>
      </c>
      <c r="O263" s="1609">
        <v>28440</v>
      </c>
      <c r="P263" s="1609">
        <v>32580</v>
      </c>
      <c r="Q263" s="1609">
        <v>36730</v>
      </c>
      <c r="R263" s="1609">
        <v>40890</v>
      </c>
      <c r="S263" s="1609">
        <v>42000</v>
      </c>
      <c r="T263" s="1609">
        <v>48000</v>
      </c>
      <c r="U263" s="1609">
        <v>54000</v>
      </c>
      <c r="V263" s="1609">
        <v>60000</v>
      </c>
      <c r="W263" s="1609">
        <v>64800</v>
      </c>
      <c r="X263" s="1609">
        <v>69600</v>
      </c>
      <c r="Y263" s="1609">
        <v>74400</v>
      </c>
      <c r="Z263" s="1609">
        <v>79200</v>
      </c>
    </row>
    <row r="264" spans="2:26">
      <c r="B264" s="1613" t="s">
        <v>659</v>
      </c>
      <c r="C264" s="1609">
        <v>25300</v>
      </c>
      <c r="D264" s="1609">
        <v>28900</v>
      </c>
      <c r="E264" s="1609">
        <v>32500</v>
      </c>
      <c r="F264" s="1609">
        <v>36100</v>
      </c>
      <c r="G264" s="1609">
        <v>39000</v>
      </c>
      <c r="H264" s="1609">
        <v>41900</v>
      </c>
      <c r="I264" s="1609">
        <v>44800</v>
      </c>
      <c r="J264" s="1609">
        <v>47700</v>
      </c>
      <c r="K264" s="1609">
        <v>15200</v>
      </c>
      <c r="L264" s="1609">
        <v>17350</v>
      </c>
      <c r="M264" s="1609">
        <v>20160</v>
      </c>
      <c r="N264" s="1609">
        <v>24300</v>
      </c>
      <c r="O264" s="1609">
        <v>28440</v>
      </c>
      <c r="P264" s="1609">
        <v>32580</v>
      </c>
      <c r="Q264" s="1609">
        <v>36730</v>
      </c>
      <c r="R264" s="1609">
        <v>40890</v>
      </c>
      <c r="S264" s="1609">
        <v>40450</v>
      </c>
      <c r="T264" s="1609">
        <v>46200</v>
      </c>
      <c r="U264" s="1609">
        <v>52000</v>
      </c>
      <c r="V264" s="1609">
        <v>57750</v>
      </c>
      <c r="W264" s="1609">
        <v>62400</v>
      </c>
      <c r="X264" s="1609">
        <v>67000</v>
      </c>
      <c r="Y264" s="1609">
        <v>71650</v>
      </c>
      <c r="Z264" s="1609">
        <v>76250</v>
      </c>
    </row>
    <row r="265" spans="2:26">
      <c r="B265" s="1613" t="s">
        <v>660</v>
      </c>
      <c r="C265" s="1609">
        <v>26800</v>
      </c>
      <c r="D265" s="1609">
        <v>30600</v>
      </c>
      <c r="E265" s="1609">
        <v>34450</v>
      </c>
      <c r="F265" s="1609">
        <v>38250</v>
      </c>
      <c r="G265" s="1609">
        <v>41350</v>
      </c>
      <c r="H265" s="1609">
        <v>44400</v>
      </c>
      <c r="I265" s="1609">
        <v>47450</v>
      </c>
      <c r="J265" s="1609">
        <v>50500</v>
      </c>
      <c r="K265" s="1609">
        <v>16100</v>
      </c>
      <c r="L265" s="1609">
        <v>18400</v>
      </c>
      <c r="M265" s="1609">
        <v>20700</v>
      </c>
      <c r="N265" s="1609">
        <v>24300</v>
      </c>
      <c r="O265" s="1609">
        <v>28440</v>
      </c>
      <c r="P265" s="1609">
        <v>32580</v>
      </c>
      <c r="Q265" s="1609">
        <v>36730</v>
      </c>
      <c r="R265" s="1609">
        <v>40890</v>
      </c>
      <c r="S265" s="1609">
        <v>42850</v>
      </c>
      <c r="T265" s="1609">
        <v>49000</v>
      </c>
      <c r="U265" s="1609">
        <v>55100</v>
      </c>
      <c r="V265" s="1609">
        <v>61200</v>
      </c>
      <c r="W265" s="1609">
        <v>66100</v>
      </c>
      <c r="X265" s="1609">
        <v>71000</v>
      </c>
      <c r="Y265" s="1609">
        <v>75900</v>
      </c>
      <c r="Z265" s="1609">
        <v>80800</v>
      </c>
    </row>
    <row r="266" spans="2:26">
      <c r="B266" s="1617" t="s">
        <v>950</v>
      </c>
      <c r="C266" s="1608">
        <v>22995</v>
      </c>
      <c r="D266" s="1608">
        <v>26280</v>
      </c>
      <c r="E266" s="1608">
        <v>29565</v>
      </c>
      <c r="F266" s="1608">
        <v>32850</v>
      </c>
      <c r="G266" s="1608">
        <v>35478</v>
      </c>
      <c r="H266" s="1608">
        <v>38106</v>
      </c>
      <c r="I266" s="1608">
        <v>40734</v>
      </c>
      <c r="J266" s="1608">
        <v>43362</v>
      </c>
      <c r="K266" s="1612">
        <v>13797</v>
      </c>
      <c r="L266" s="1612">
        <v>15768</v>
      </c>
      <c r="M266" s="1612">
        <v>17739</v>
      </c>
      <c r="N266" s="1612">
        <v>19710</v>
      </c>
      <c r="O266" s="1612">
        <v>21286.800000000003</v>
      </c>
      <c r="P266" s="1612">
        <v>22863.599999999999</v>
      </c>
      <c r="Q266" s="1612">
        <v>24440.400000000001</v>
      </c>
      <c r="R266" s="1612">
        <v>26017.200000000001</v>
      </c>
      <c r="S266" s="1612">
        <v>36792</v>
      </c>
      <c r="T266" s="1612">
        <v>42048</v>
      </c>
      <c r="U266" s="1612">
        <v>47304</v>
      </c>
      <c r="V266" s="1612">
        <v>52560</v>
      </c>
      <c r="W266" s="1612">
        <v>56765</v>
      </c>
      <c r="X266" s="1612">
        <v>60970</v>
      </c>
      <c r="Y266" s="1612">
        <v>65174</v>
      </c>
      <c r="Z266" s="1612">
        <v>69379</v>
      </c>
    </row>
    <row r="267" spans="2:26">
      <c r="B267" s="1617"/>
      <c r="C267" s="1618"/>
      <c r="D267" s="1619"/>
    </row>
    <row r="268" spans="2:26">
      <c r="B268" s="1617"/>
      <c r="C268" s="1618"/>
      <c r="D268" s="1619"/>
    </row>
    <row r="269" spans="2:26">
      <c r="B269" s="1617"/>
      <c r="C269" s="1618"/>
      <c r="D269" s="1619"/>
    </row>
    <row r="270" spans="2:26">
      <c r="B270" s="1617"/>
      <c r="C270" s="1618"/>
      <c r="D270" s="1619"/>
    </row>
    <row r="271" spans="2:26">
      <c r="B271" s="1617"/>
      <c r="C271" s="1618"/>
      <c r="D271" s="1619"/>
    </row>
    <row r="272" spans="2:26">
      <c r="B272" s="1617"/>
      <c r="C272" s="1618"/>
      <c r="D272" s="1619"/>
    </row>
    <row r="273" spans="2:4">
      <c r="B273" s="1617"/>
      <c r="C273" s="1618"/>
      <c r="D273" s="1619"/>
    </row>
    <row r="274" spans="2:4">
      <c r="B274" s="1617"/>
      <c r="C274" s="1618"/>
      <c r="D274" s="1619"/>
    </row>
    <row r="275" spans="2:4">
      <c r="B275" s="1617"/>
      <c r="C275" s="1618"/>
      <c r="D275" s="1619"/>
    </row>
    <row r="276" spans="2:4">
      <c r="B276" s="1617"/>
      <c r="C276" s="1618"/>
      <c r="D276" s="1619"/>
    </row>
    <row r="277" spans="2:4">
      <c r="B277" s="1617"/>
      <c r="C277" s="1618"/>
      <c r="D277" s="1619"/>
    </row>
    <row r="278" spans="2:4">
      <c r="B278" s="1617"/>
      <c r="C278" s="1618"/>
      <c r="D278" s="1619"/>
    </row>
    <row r="279" spans="2:4">
      <c r="B279" s="1617"/>
      <c r="C279" s="1618"/>
      <c r="D279" s="1619"/>
    </row>
    <row r="280" spans="2:4">
      <c r="B280" s="1617"/>
      <c r="C280" s="1618"/>
      <c r="D280" s="1619"/>
    </row>
    <row r="281" spans="2:4">
      <c r="B281" s="1617"/>
      <c r="C281" s="1618"/>
      <c r="D281" s="1619"/>
    </row>
    <row r="282" spans="2:4">
      <c r="B282" s="1617"/>
      <c r="C282" s="1618"/>
      <c r="D282" s="1619"/>
    </row>
    <row r="283" spans="2:4">
      <c r="B283" s="1617"/>
      <c r="C283" s="1618"/>
      <c r="D283" s="1619"/>
    </row>
    <row r="284" spans="2:4">
      <c r="B284" s="1617"/>
      <c r="C284" s="1618"/>
      <c r="D284" s="1619"/>
    </row>
    <row r="285" spans="2:4">
      <c r="B285" s="1617"/>
      <c r="C285" s="1618"/>
      <c r="D285" s="1619"/>
    </row>
    <row r="286" spans="2:4">
      <c r="B286" s="1617"/>
      <c r="C286" s="1618"/>
      <c r="D286" s="1619"/>
    </row>
    <row r="287" spans="2:4">
      <c r="B287" s="1617"/>
      <c r="C287" s="1618"/>
      <c r="D287" s="1619"/>
    </row>
    <row r="288" spans="2:4">
      <c r="B288" s="1617"/>
      <c r="C288" s="1618"/>
      <c r="D288" s="1619"/>
    </row>
    <row r="289" spans="2:4">
      <c r="B289" s="1617"/>
      <c r="C289" s="1618"/>
      <c r="D289" s="1619"/>
    </row>
    <row r="290" spans="2:4">
      <c r="B290" s="1617"/>
      <c r="C290" s="1618"/>
      <c r="D290" s="1619"/>
    </row>
    <row r="291" spans="2:4">
      <c r="B291" s="1617"/>
      <c r="C291" s="1618"/>
      <c r="D291" s="1619"/>
    </row>
    <row r="292" spans="2:4">
      <c r="B292" s="1617"/>
      <c r="C292" s="1618"/>
      <c r="D292" s="1619"/>
    </row>
    <row r="293" spans="2:4">
      <c r="B293" s="1617"/>
      <c r="C293" s="1618"/>
      <c r="D293" s="1619"/>
    </row>
    <row r="294" spans="2:4">
      <c r="B294" s="1617"/>
      <c r="C294" s="1618"/>
      <c r="D294" s="1619"/>
    </row>
    <row r="295" spans="2:4">
      <c r="B295" s="1617"/>
      <c r="C295" s="1618"/>
      <c r="D295" s="1619"/>
    </row>
    <row r="296" spans="2:4">
      <c r="B296" s="1617"/>
      <c r="C296" s="1618"/>
      <c r="D296" s="1619"/>
    </row>
    <row r="297" spans="2:4">
      <c r="B297" s="1617"/>
      <c r="C297" s="1618"/>
      <c r="D297" s="1619"/>
    </row>
    <row r="298" spans="2:4">
      <c r="B298" s="1617"/>
      <c r="C298" s="1618"/>
      <c r="D298" s="1619"/>
    </row>
    <row r="299" spans="2:4">
      <c r="B299" s="1617"/>
      <c r="C299" s="1618"/>
      <c r="D299" s="1619"/>
    </row>
    <row r="300" spans="2:4">
      <c r="B300" s="1617"/>
      <c r="C300" s="1618"/>
      <c r="D300" s="1619"/>
    </row>
    <row r="301" spans="2:4">
      <c r="B301" s="1617"/>
      <c r="C301" s="1618"/>
      <c r="D301" s="1619"/>
    </row>
    <row r="302" spans="2:4">
      <c r="B302" s="1617"/>
      <c r="C302" s="1618"/>
      <c r="D302" s="1619"/>
    </row>
    <row r="303" spans="2:4">
      <c r="B303" s="1617"/>
      <c r="C303" s="1618"/>
      <c r="D303" s="1619"/>
    </row>
    <row r="304" spans="2:4">
      <c r="B304" s="1617"/>
      <c r="C304" s="1618"/>
      <c r="D304" s="1619"/>
    </row>
    <row r="305" spans="2:4">
      <c r="B305" s="1617"/>
      <c r="C305" s="1618"/>
      <c r="D305" s="1619"/>
    </row>
    <row r="306" spans="2:4">
      <c r="B306" s="1617"/>
      <c r="C306" s="1618"/>
      <c r="D306" s="1619"/>
    </row>
    <row r="307" spans="2:4">
      <c r="B307" s="1617"/>
      <c r="C307" s="1618"/>
      <c r="D307" s="1619"/>
    </row>
    <row r="308" spans="2:4">
      <c r="B308" s="1617"/>
      <c r="C308" s="1618"/>
      <c r="D308" s="1619"/>
    </row>
    <row r="309" spans="2:4">
      <c r="B309" s="1617"/>
      <c r="C309" s="1618"/>
      <c r="D309" s="1619"/>
    </row>
    <row r="310" spans="2:4">
      <c r="B310" s="1617"/>
      <c r="C310" s="1618"/>
      <c r="D310" s="1619"/>
    </row>
    <row r="311" spans="2:4">
      <c r="B311" s="1617"/>
      <c r="C311" s="1618"/>
      <c r="D311" s="1619"/>
    </row>
    <row r="312" spans="2:4">
      <c r="B312" s="1617"/>
      <c r="C312" s="1618"/>
      <c r="D312" s="1619"/>
    </row>
    <row r="313" spans="2:4">
      <c r="B313" s="1617"/>
      <c r="C313" s="1618"/>
      <c r="D313" s="1619"/>
    </row>
    <row r="314" spans="2:4">
      <c r="B314" s="1617"/>
      <c r="C314" s="1618"/>
      <c r="D314" s="1619"/>
    </row>
    <row r="315" spans="2:4">
      <c r="B315" s="1617"/>
      <c r="C315" s="1618"/>
      <c r="D315" s="1619"/>
    </row>
    <row r="316" spans="2:4">
      <c r="B316" s="1617"/>
      <c r="C316" s="1618"/>
      <c r="D316" s="1619"/>
    </row>
    <row r="317" spans="2:4">
      <c r="B317" s="1617"/>
      <c r="C317" s="1618"/>
      <c r="D317" s="1619"/>
    </row>
    <row r="318" spans="2:4">
      <c r="B318" s="1617"/>
      <c r="C318" s="1618"/>
      <c r="D318" s="1619"/>
    </row>
    <row r="319" spans="2:4">
      <c r="B319" s="1617"/>
      <c r="C319" s="1618"/>
      <c r="D319" s="1619"/>
    </row>
    <row r="320" spans="2:4">
      <c r="B320" s="1617"/>
      <c r="C320" s="1618"/>
      <c r="D320" s="1619"/>
    </row>
    <row r="321" spans="2:4">
      <c r="B321" s="1617"/>
      <c r="C321" s="1618"/>
      <c r="D321" s="1619"/>
    </row>
    <row r="322" spans="2:4">
      <c r="B322" s="1617"/>
      <c r="C322" s="1618"/>
      <c r="D322" s="1619"/>
    </row>
    <row r="323" spans="2:4">
      <c r="B323" s="1617"/>
      <c r="C323" s="1618"/>
      <c r="D323" s="1619"/>
    </row>
    <row r="324" spans="2:4">
      <c r="B324" s="1617"/>
      <c r="C324" s="1618"/>
      <c r="D324" s="1619"/>
    </row>
    <row r="325" spans="2:4">
      <c r="B325" s="1617"/>
      <c r="C325" s="1618"/>
      <c r="D325" s="1619"/>
    </row>
    <row r="326" spans="2:4">
      <c r="B326" s="1617"/>
      <c r="C326" s="1618"/>
      <c r="D326" s="1619"/>
    </row>
    <row r="327" spans="2:4">
      <c r="B327" s="1617"/>
      <c r="C327" s="1618"/>
      <c r="D327" s="1619"/>
    </row>
    <row r="328" spans="2:4">
      <c r="B328" s="1617"/>
      <c r="C328" s="1618"/>
      <c r="D328" s="1619"/>
    </row>
    <row r="329" spans="2:4">
      <c r="B329" s="1617"/>
      <c r="C329" s="1618"/>
      <c r="D329" s="1619"/>
    </row>
    <row r="330" spans="2:4">
      <c r="B330" s="1617"/>
      <c r="C330" s="1618"/>
      <c r="D330" s="1619"/>
    </row>
    <row r="331" spans="2:4">
      <c r="B331" s="1617"/>
      <c r="C331" s="1618"/>
      <c r="D331" s="1619"/>
    </row>
    <row r="332" spans="2:4">
      <c r="B332" s="1617"/>
      <c r="C332" s="1618"/>
      <c r="D332" s="1619"/>
    </row>
    <row r="333" spans="2:4">
      <c r="B333" s="1617"/>
      <c r="C333" s="1618"/>
      <c r="D333" s="1619"/>
    </row>
    <row r="334" spans="2:4">
      <c r="B334" s="1617"/>
      <c r="C334" s="1618"/>
      <c r="D334" s="1619"/>
    </row>
    <row r="335" spans="2:4">
      <c r="B335" s="1617"/>
      <c r="C335" s="1618"/>
      <c r="D335" s="1619"/>
    </row>
    <row r="336" spans="2:4">
      <c r="B336" s="1617"/>
      <c r="C336" s="1618"/>
      <c r="D336" s="1619"/>
    </row>
    <row r="337" spans="2:4">
      <c r="B337" s="1617"/>
      <c r="C337" s="1618"/>
      <c r="D337" s="1619"/>
    </row>
    <row r="338" spans="2:4">
      <c r="B338" s="1617"/>
      <c r="C338" s="1618"/>
      <c r="D338" s="1619"/>
    </row>
    <row r="339" spans="2:4">
      <c r="B339" s="1617"/>
      <c r="C339" s="1618"/>
      <c r="D339" s="1619"/>
    </row>
    <row r="340" spans="2:4">
      <c r="B340" s="1617"/>
      <c r="C340" s="1618"/>
      <c r="D340" s="1619"/>
    </row>
    <row r="341" spans="2:4">
      <c r="B341" s="1617"/>
      <c r="C341" s="1618"/>
      <c r="D341" s="1619"/>
    </row>
    <row r="342" spans="2:4">
      <c r="B342" s="1617"/>
      <c r="C342" s="1618"/>
      <c r="D342" s="1619"/>
    </row>
    <row r="343" spans="2:4">
      <c r="B343" s="1617"/>
      <c r="C343" s="1618"/>
      <c r="D343" s="1619"/>
    </row>
    <row r="344" spans="2:4">
      <c r="B344" s="1617"/>
      <c r="C344" s="1618"/>
      <c r="D344" s="1619"/>
    </row>
    <row r="345" spans="2:4">
      <c r="B345" s="1617"/>
      <c r="C345" s="1618"/>
      <c r="D345" s="1619"/>
    </row>
    <row r="346" spans="2:4">
      <c r="B346" s="1617"/>
      <c r="C346" s="1618"/>
      <c r="D346" s="1619"/>
    </row>
    <row r="347" spans="2:4">
      <c r="B347" s="1617"/>
      <c r="C347" s="1618"/>
      <c r="D347" s="1619"/>
    </row>
    <row r="348" spans="2:4">
      <c r="B348" s="1617"/>
      <c r="C348" s="1618"/>
      <c r="D348" s="1619"/>
    </row>
    <row r="349" spans="2:4">
      <c r="B349" s="1620"/>
      <c r="C349" s="1621"/>
      <c r="D349" s="1619"/>
    </row>
    <row r="350" spans="2:4">
      <c r="B350" s="1620"/>
      <c r="C350" s="1621"/>
      <c r="D350" s="1619"/>
    </row>
    <row r="351" spans="2:4">
      <c r="B351" s="1617"/>
      <c r="C351" s="1618"/>
      <c r="D351" s="1619"/>
    </row>
    <row r="352" spans="2:4">
      <c r="B352" s="1617"/>
      <c r="C352" s="1618"/>
      <c r="D352" s="1619"/>
    </row>
    <row r="353" spans="2:4">
      <c r="B353" s="1617"/>
      <c r="C353" s="1618"/>
      <c r="D353" s="1619"/>
    </row>
    <row r="354" spans="2:4">
      <c r="B354" s="1617"/>
      <c r="C354" s="1618"/>
      <c r="D354" s="1619"/>
    </row>
    <row r="355" spans="2:4">
      <c r="B355" s="1617"/>
      <c r="C355" s="1618"/>
      <c r="D355" s="1619"/>
    </row>
    <row r="356" spans="2:4">
      <c r="B356" s="1617"/>
      <c r="C356" s="1618"/>
      <c r="D356" s="1619"/>
    </row>
    <row r="357" spans="2:4">
      <c r="B357" s="1617"/>
      <c r="C357" s="1618"/>
      <c r="D357" s="1619"/>
    </row>
    <row r="358" spans="2:4">
      <c r="B358" s="1617"/>
      <c r="C358" s="1618"/>
      <c r="D358" s="1619"/>
    </row>
    <row r="359" spans="2:4">
      <c r="B359" s="1617"/>
      <c r="C359" s="1618"/>
      <c r="D359" s="1619"/>
    </row>
    <row r="360" spans="2:4">
      <c r="B360" s="1617"/>
      <c r="C360" s="1618"/>
      <c r="D360" s="1619"/>
    </row>
    <row r="361" spans="2:4">
      <c r="B361" s="1617"/>
      <c r="C361" s="1618"/>
      <c r="D361" s="1619"/>
    </row>
    <row r="362" spans="2:4">
      <c r="B362" s="1617"/>
      <c r="C362" s="1618"/>
      <c r="D362" s="1619"/>
    </row>
    <row r="363" spans="2:4">
      <c r="B363" s="1617"/>
      <c r="C363" s="1618"/>
      <c r="D363" s="1619"/>
    </row>
    <row r="364" spans="2:4">
      <c r="B364" s="1617"/>
      <c r="C364" s="1618"/>
      <c r="D364" s="1619"/>
    </row>
    <row r="365" spans="2:4">
      <c r="B365" s="1617"/>
      <c r="C365" s="1618"/>
      <c r="D365" s="1619"/>
    </row>
    <row r="366" spans="2:4">
      <c r="B366" s="1617"/>
      <c r="C366" s="1618"/>
      <c r="D366" s="1619"/>
    </row>
    <row r="367" spans="2:4">
      <c r="B367" s="1617"/>
      <c r="C367" s="1618"/>
      <c r="D367" s="1619"/>
    </row>
    <row r="368" spans="2:4">
      <c r="B368" s="1617"/>
      <c r="C368" s="1618"/>
      <c r="D368" s="1619"/>
    </row>
    <row r="369" spans="2:4">
      <c r="B369" s="1617"/>
      <c r="C369" s="1618"/>
      <c r="D369" s="1619"/>
    </row>
    <row r="370" spans="2:4">
      <c r="B370" s="1617"/>
      <c r="C370" s="1618"/>
      <c r="D370" s="1619"/>
    </row>
    <row r="371" spans="2:4">
      <c r="B371" s="1617"/>
      <c r="C371" s="1618"/>
      <c r="D371" s="1619"/>
    </row>
    <row r="372" spans="2:4">
      <c r="B372" s="1617"/>
      <c r="C372" s="1618"/>
      <c r="D372" s="1619"/>
    </row>
    <row r="373" spans="2:4">
      <c r="B373" s="1617"/>
      <c r="C373" s="1618"/>
      <c r="D373" s="1619"/>
    </row>
    <row r="374" spans="2:4">
      <c r="B374" s="1617"/>
      <c r="C374" s="1618"/>
      <c r="D374" s="1619"/>
    </row>
    <row r="375" spans="2:4">
      <c r="B375" s="1617"/>
      <c r="C375" s="1618"/>
      <c r="D375" s="1619"/>
    </row>
    <row r="376" spans="2:4">
      <c r="B376" s="1617"/>
      <c r="C376" s="1618"/>
      <c r="D376" s="1619"/>
    </row>
    <row r="377" spans="2:4">
      <c r="B377" s="1617"/>
      <c r="C377" s="1618"/>
      <c r="D377" s="1619"/>
    </row>
    <row r="378" spans="2:4">
      <c r="B378" s="1617"/>
      <c r="C378" s="1618"/>
      <c r="D378" s="1619"/>
    </row>
    <row r="379" spans="2:4">
      <c r="B379" s="1617"/>
      <c r="C379" s="1618"/>
      <c r="D379" s="1619"/>
    </row>
    <row r="380" spans="2:4">
      <c r="B380" s="1617"/>
      <c r="C380" s="1618"/>
      <c r="D380" s="1619"/>
    </row>
    <row r="381" spans="2:4">
      <c r="B381" s="1617"/>
      <c r="C381" s="1618"/>
      <c r="D381" s="1619"/>
    </row>
    <row r="382" spans="2:4">
      <c r="B382" s="1617"/>
      <c r="C382" s="1618"/>
      <c r="D382" s="1619"/>
    </row>
    <row r="383" spans="2:4">
      <c r="B383" s="1617"/>
      <c r="C383" s="1618"/>
      <c r="D383" s="1619"/>
    </row>
    <row r="384" spans="2:4">
      <c r="B384" s="1617"/>
      <c r="C384" s="1618"/>
      <c r="D384" s="1619"/>
    </row>
    <row r="385" spans="2:4">
      <c r="B385" s="1617"/>
      <c r="C385" s="1618"/>
      <c r="D385" s="1619"/>
    </row>
    <row r="386" spans="2:4">
      <c r="B386" s="1617"/>
      <c r="C386" s="1618"/>
      <c r="D386" s="1619"/>
    </row>
    <row r="387" spans="2:4">
      <c r="B387" s="1617"/>
      <c r="C387" s="1618"/>
      <c r="D387" s="1619"/>
    </row>
    <row r="388" spans="2:4">
      <c r="B388" s="1617"/>
      <c r="C388" s="1618"/>
      <c r="D388" s="1619"/>
    </row>
    <row r="389" spans="2:4">
      <c r="B389" s="1617"/>
      <c r="C389" s="1618"/>
      <c r="D389" s="1619"/>
    </row>
    <row r="390" spans="2:4">
      <c r="B390" s="1617"/>
      <c r="C390" s="1618"/>
      <c r="D390" s="1619"/>
    </row>
    <row r="391" spans="2:4">
      <c r="B391" s="1617"/>
      <c r="C391" s="1618"/>
      <c r="D391" s="1619"/>
    </row>
    <row r="392" spans="2:4">
      <c r="B392" s="1617"/>
      <c r="C392" s="1618"/>
      <c r="D392" s="1619"/>
    </row>
    <row r="393" spans="2:4">
      <c r="B393" s="1617"/>
      <c r="C393" s="1618"/>
      <c r="D393" s="1619"/>
    </row>
    <row r="394" spans="2:4">
      <c r="B394" s="1617"/>
      <c r="C394" s="1618"/>
      <c r="D394" s="1619"/>
    </row>
    <row r="395" spans="2:4">
      <c r="B395" s="1617"/>
      <c r="C395" s="1618"/>
      <c r="D395" s="1619"/>
    </row>
    <row r="396" spans="2:4">
      <c r="B396" s="1617"/>
      <c r="C396" s="1618"/>
      <c r="D396" s="1619"/>
    </row>
    <row r="397" spans="2:4">
      <c r="B397" s="1617"/>
      <c r="C397" s="1618"/>
      <c r="D397" s="1619"/>
    </row>
    <row r="398" spans="2:4">
      <c r="B398" s="1617"/>
      <c r="C398" s="1618"/>
      <c r="D398" s="1619"/>
    </row>
    <row r="399" spans="2:4">
      <c r="B399" s="1617"/>
      <c r="C399" s="1618"/>
      <c r="D399" s="1619"/>
    </row>
    <row r="400" spans="2:4">
      <c r="B400" s="1617"/>
      <c r="C400" s="1618"/>
      <c r="D400" s="1619"/>
    </row>
    <row r="401" spans="2:4">
      <c r="B401" s="1617"/>
      <c r="C401" s="1618"/>
      <c r="D401" s="1619"/>
    </row>
    <row r="402" spans="2:4">
      <c r="B402" s="1617"/>
      <c r="C402" s="1618"/>
      <c r="D402" s="1619"/>
    </row>
    <row r="403" spans="2:4">
      <c r="B403" s="1617"/>
      <c r="C403" s="1618"/>
      <c r="D403" s="1619"/>
    </row>
    <row r="404" spans="2:4">
      <c r="B404" s="1617"/>
      <c r="C404" s="1618"/>
      <c r="D404" s="1619"/>
    </row>
    <row r="405" spans="2:4">
      <c r="B405" s="1617"/>
      <c r="C405" s="1618"/>
      <c r="D405" s="1619"/>
    </row>
    <row r="406" spans="2:4">
      <c r="B406" s="1617"/>
      <c r="C406" s="1618"/>
      <c r="D406" s="1619"/>
    </row>
    <row r="407" spans="2:4">
      <c r="B407" s="1617"/>
      <c r="C407" s="1618"/>
      <c r="D407" s="1619"/>
    </row>
    <row r="408" spans="2:4">
      <c r="B408" s="1617"/>
      <c r="C408" s="1618"/>
      <c r="D408" s="1619"/>
    </row>
    <row r="409" spans="2:4">
      <c r="B409" s="1617"/>
      <c r="C409" s="1618"/>
      <c r="D409" s="1619"/>
    </row>
    <row r="410" spans="2:4">
      <c r="B410" s="1617"/>
      <c r="C410" s="1618"/>
      <c r="D410" s="1619"/>
    </row>
    <row r="411" spans="2:4">
      <c r="B411" s="1617"/>
      <c r="C411" s="1618"/>
      <c r="D411" s="1619"/>
    </row>
    <row r="412" spans="2:4">
      <c r="B412" s="1617"/>
      <c r="C412" s="1618"/>
      <c r="D412" s="1619"/>
    </row>
    <row r="413" spans="2:4">
      <c r="B413" s="1617"/>
      <c r="C413" s="1618"/>
      <c r="D413" s="1619"/>
    </row>
    <row r="414" spans="2:4">
      <c r="B414" s="1617"/>
      <c r="C414" s="1618"/>
      <c r="D414" s="1619"/>
    </row>
    <row r="415" spans="2:4">
      <c r="B415" s="1617"/>
      <c r="C415" s="1618"/>
      <c r="D415" s="1619"/>
    </row>
    <row r="416" spans="2:4">
      <c r="B416" s="1617"/>
      <c r="C416" s="1618"/>
      <c r="D416" s="1619"/>
    </row>
    <row r="417" spans="2:4">
      <c r="B417" s="1617"/>
      <c r="C417" s="1618"/>
      <c r="D417" s="1619"/>
    </row>
    <row r="418" spans="2:4">
      <c r="B418" s="1617"/>
      <c r="C418" s="1618"/>
      <c r="D418" s="1619"/>
    </row>
    <row r="419" spans="2:4">
      <c r="B419" s="1617"/>
      <c r="C419" s="1618"/>
      <c r="D419" s="1619"/>
    </row>
    <row r="420" spans="2:4">
      <c r="B420" s="1617"/>
      <c r="C420" s="1618"/>
      <c r="D420" s="1619"/>
    </row>
    <row r="421" spans="2:4">
      <c r="B421" s="1617"/>
      <c r="C421" s="1618"/>
      <c r="D421" s="1619"/>
    </row>
    <row r="422" spans="2:4">
      <c r="B422" s="1617"/>
      <c r="C422" s="1618"/>
      <c r="D422" s="1619"/>
    </row>
    <row r="423" spans="2:4">
      <c r="B423" s="1617"/>
      <c r="C423" s="1618"/>
      <c r="D423" s="1619"/>
    </row>
    <row r="424" spans="2:4">
      <c r="B424" s="1617"/>
      <c r="C424" s="1618"/>
      <c r="D424" s="1619"/>
    </row>
    <row r="425" spans="2:4">
      <c r="B425" s="1617"/>
      <c r="C425" s="1618"/>
      <c r="D425" s="1619"/>
    </row>
    <row r="426" spans="2:4">
      <c r="B426" s="1617"/>
      <c r="C426" s="1618"/>
      <c r="D426" s="1619"/>
    </row>
    <row r="427" spans="2:4">
      <c r="B427" s="1617"/>
      <c r="C427" s="1618"/>
      <c r="D427" s="1619"/>
    </row>
    <row r="428" spans="2:4">
      <c r="B428" s="1617"/>
      <c r="C428" s="1618"/>
      <c r="D428" s="1619"/>
    </row>
    <row r="429" spans="2:4">
      <c r="B429" s="1617"/>
      <c r="C429" s="1618"/>
      <c r="D429" s="1619"/>
    </row>
    <row r="430" spans="2:4">
      <c r="B430" s="1617"/>
      <c r="C430" s="1618"/>
      <c r="D430" s="1619"/>
    </row>
    <row r="431" spans="2:4">
      <c r="B431" s="1617"/>
      <c r="C431" s="1618"/>
      <c r="D431" s="1619"/>
    </row>
    <row r="432" spans="2:4">
      <c r="B432" s="1617"/>
      <c r="C432" s="1618"/>
      <c r="D432" s="1619"/>
    </row>
    <row r="433" spans="2:4">
      <c r="B433" s="1617"/>
      <c r="C433" s="1618"/>
      <c r="D433" s="1619"/>
    </row>
    <row r="434" spans="2:4">
      <c r="B434" s="1617"/>
      <c r="C434" s="1618"/>
      <c r="D434" s="1619"/>
    </row>
    <row r="435" spans="2:4">
      <c r="B435" s="1617"/>
      <c r="C435" s="1618"/>
      <c r="D435" s="1619"/>
    </row>
    <row r="436" spans="2:4">
      <c r="B436" s="1617"/>
      <c r="C436" s="1618"/>
      <c r="D436" s="1619"/>
    </row>
    <row r="437" spans="2:4">
      <c r="B437" s="1617"/>
      <c r="C437" s="1618"/>
      <c r="D437" s="1619"/>
    </row>
    <row r="438" spans="2:4">
      <c r="B438" s="1617"/>
      <c r="C438" s="1618"/>
      <c r="D438" s="1619"/>
    </row>
    <row r="439" spans="2:4">
      <c r="B439" s="1617"/>
      <c r="C439" s="1618"/>
      <c r="D439" s="1619"/>
    </row>
    <row r="440" spans="2:4">
      <c r="B440" s="1617"/>
      <c r="C440" s="1618"/>
      <c r="D440" s="1619"/>
    </row>
    <row r="441" spans="2:4">
      <c r="B441" s="1617"/>
      <c r="C441" s="1618"/>
      <c r="D441" s="1619"/>
    </row>
    <row r="442" spans="2:4">
      <c r="B442" s="1617"/>
      <c r="C442" s="1618"/>
      <c r="D442" s="1619"/>
    </row>
    <row r="443" spans="2:4">
      <c r="B443" s="1617"/>
      <c r="C443" s="1618"/>
      <c r="D443" s="1619"/>
    </row>
    <row r="444" spans="2:4">
      <c r="B444" s="1617"/>
      <c r="C444" s="1618"/>
      <c r="D444" s="1619"/>
    </row>
    <row r="445" spans="2:4">
      <c r="B445" s="1617"/>
      <c r="C445" s="1618"/>
      <c r="D445" s="1619"/>
    </row>
    <row r="446" spans="2:4">
      <c r="B446" s="1617"/>
      <c r="C446" s="1618"/>
      <c r="D446" s="1619"/>
    </row>
    <row r="447" spans="2:4">
      <c r="B447" s="1617"/>
      <c r="C447" s="1618"/>
      <c r="D447" s="1619"/>
    </row>
    <row r="448" spans="2:4">
      <c r="B448" s="1617"/>
      <c r="C448" s="1618"/>
      <c r="D448" s="1619"/>
    </row>
    <row r="449" spans="2:4">
      <c r="B449" s="1617"/>
      <c r="C449" s="1618"/>
      <c r="D449" s="1619"/>
    </row>
    <row r="450" spans="2:4">
      <c r="B450" s="1617"/>
      <c r="C450" s="1618"/>
      <c r="D450" s="1619"/>
    </row>
    <row r="451" spans="2:4">
      <c r="B451" s="1617"/>
      <c r="C451" s="1618"/>
      <c r="D451" s="1619"/>
    </row>
    <row r="452" spans="2:4">
      <c r="B452" s="1617"/>
      <c r="C452" s="1618"/>
      <c r="D452" s="1619"/>
    </row>
    <row r="453" spans="2:4">
      <c r="B453" s="1617"/>
      <c r="C453" s="1618"/>
      <c r="D453" s="1619"/>
    </row>
    <row r="454" spans="2:4">
      <c r="B454" s="1617"/>
      <c r="C454" s="1618"/>
      <c r="D454" s="1619"/>
    </row>
    <row r="455" spans="2:4">
      <c r="B455" s="1617"/>
      <c r="C455" s="1618"/>
      <c r="D455" s="1619"/>
    </row>
    <row r="456" spans="2:4">
      <c r="B456" s="1617"/>
      <c r="C456" s="1618"/>
      <c r="D456" s="1619"/>
    </row>
    <row r="457" spans="2:4">
      <c r="B457" s="1617"/>
      <c r="C457" s="1618"/>
      <c r="D457" s="1619"/>
    </row>
    <row r="458" spans="2:4">
      <c r="B458" s="1617"/>
      <c r="C458" s="1618"/>
      <c r="D458" s="1619"/>
    </row>
    <row r="459" spans="2:4">
      <c r="B459" s="1617"/>
      <c r="C459" s="1618"/>
      <c r="D459" s="1619"/>
    </row>
    <row r="460" spans="2:4">
      <c r="B460" s="1617"/>
      <c r="C460" s="1618"/>
      <c r="D460" s="1619"/>
    </row>
    <row r="461" spans="2:4">
      <c r="B461" s="1617"/>
      <c r="C461" s="1618"/>
      <c r="D461" s="1619"/>
    </row>
    <row r="462" spans="2:4">
      <c r="B462" s="1617"/>
      <c r="C462" s="1618"/>
      <c r="D462" s="1619"/>
    </row>
    <row r="463" spans="2:4">
      <c r="B463" s="1617"/>
      <c r="C463" s="1618"/>
      <c r="D463" s="1619"/>
    </row>
    <row r="464" spans="2:4">
      <c r="B464" s="1617"/>
      <c r="C464" s="1618"/>
      <c r="D464" s="1619"/>
    </row>
    <row r="465" spans="2:4">
      <c r="B465" s="1617"/>
      <c r="C465" s="1618"/>
      <c r="D465" s="1619"/>
    </row>
    <row r="466" spans="2:4">
      <c r="B466" s="1617"/>
      <c r="C466" s="1618"/>
      <c r="D466" s="1619"/>
    </row>
    <row r="467" spans="2:4">
      <c r="B467" s="1617"/>
      <c r="C467" s="1618"/>
      <c r="D467" s="1619"/>
    </row>
    <row r="468" spans="2:4">
      <c r="B468" s="1617"/>
      <c r="C468" s="1618"/>
      <c r="D468" s="1619"/>
    </row>
    <row r="469" spans="2:4">
      <c r="B469" s="1617"/>
      <c r="C469" s="1618"/>
      <c r="D469" s="1619"/>
    </row>
    <row r="470" spans="2:4">
      <c r="B470" s="1617"/>
      <c r="C470" s="1618"/>
      <c r="D470" s="1619"/>
    </row>
    <row r="471" spans="2:4">
      <c r="B471" s="1617"/>
      <c r="C471" s="1618"/>
      <c r="D471" s="1619"/>
    </row>
    <row r="472" spans="2:4">
      <c r="B472" s="1617"/>
      <c r="C472" s="1618"/>
      <c r="D472" s="1619"/>
    </row>
    <row r="473" spans="2:4">
      <c r="B473" s="1617"/>
      <c r="C473" s="1618"/>
      <c r="D473" s="1619"/>
    </row>
    <row r="474" spans="2:4">
      <c r="B474" s="1617"/>
      <c r="C474" s="1618"/>
      <c r="D474" s="1619"/>
    </row>
    <row r="475" spans="2:4">
      <c r="B475" s="1617"/>
      <c r="C475" s="1618"/>
      <c r="D475" s="1619"/>
    </row>
    <row r="476" spans="2:4">
      <c r="B476" s="1617"/>
      <c r="C476" s="1618"/>
      <c r="D476" s="1619"/>
    </row>
    <row r="477" spans="2:4">
      <c r="B477" s="1617"/>
      <c r="C477" s="1618"/>
      <c r="D477" s="1619"/>
    </row>
    <row r="478" spans="2:4">
      <c r="B478" s="1617"/>
      <c r="C478" s="1618"/>
      <c r="D478" s="1619"/>
    </row>
    <row r="479" spans="2:4">
      <c r="B479" s="1617"/>
      <c r="C479" s="1618"/>
      <c r="D479" s="1619"/>
    </row>
    <row r="480" spans="2:4">
      <c r="B480" s="1617"/>
      <c r="C480" s="1618"/>
      <c r="D480" s="1619"/>
    </row>
    <row r="481" spans="2:4">
      <c r="B481" s="1617"/>
      <c r="C481" s="1618"/>
      <c r="D481" s="1619"/>
    </row>
    <row r="482" spans="2:4">
      <c r="B482" s="1617"/>
      <c r="C482" s="1618"/>
      <c r="D482" s="1619"/>
    </row>
    <row r="483" spans="2:4">
      <c r="B483" s="1617"/>
      <c r="C483" s="1618"/>
      <c r="D483" s="1619"/>
    </row>
    <row r="484" spans="2:4">
      <c r="B484" s="1617"/>
      <c r="C484" s="1618"/>
      <c r="D484" s="1619"/>
    </row>
    <row r="485" spans="2:4">
      <c r="B485" s="1617"/>
      <c r="C485" s="1618"/>
      <c r="D485" s="1619"/>
    </row>
    <row r="486" spans="2:4">
      <c r="B486" s="1617"/>
      <c r="C486" s="1618"/>
      <c r="D486" s="1619"/>
    </row>
    <row r="487" spans="2:4">
      <c r="B487" s="1617"/>
      <c r="C487" s="1618"/>
      <c r="D487" s="1619"/>
    </row>
    <row r="488" spans="2:4">
      <c r="B488" s="1617"/>
      <c r="C488" s="1618"/>
      <c r="D488" s="1619"/>
    </row>
    <row r="489" spans="2:4">
      <c r="B489" s="1617"/>
      <c r="C489" s="1618"/>
      <c r="D489" s="1619"/>
    </row>
    <row r="490" spans="2:4">
      <c r="B490" s="1617"/>
      <c r="C490" s="1618"/>
      <c r="D490" s="1619"/>
    </row>
    <row r="491" spans="2:4">
      <c r="B491" s="1617"/>
      <c r="C491" s="1618"/>
      <c r="D491" s="1619"/>
    </row>
    <row r="492" spans="2:4">
      <c r="B492" s="1617"/>
      <c r="C492" s="1618"/>
      <c r="D492" s="1619"/>
    </row>
    <row r="493" spans="2:4">
      <c r="B493" s="1617"/>
      <c r="C493" s="1618"/>
      <c r="D493" s="1619"/>
    </row>
    <row r="494" spans="2:4">
      <c r="B494" s="1617"/>
      <c r="C494" s="1618"/>
      <c r="D494" s="1619"/>
    </row>
    <row r="495" spans="2:4">
      <c r="B495" s="1617"/>
      <c r="C495" s="1618"/>
      <c r="D495" s="1619"/>
    </row>
    <row r="496" spans="2:4">
      <c r="B496" s="1617"/>
      <c r="C496" s="1618"/>
      <c r="D496" s="1619"/>
    </row>
    <row r="497" spans="2:4">
      <c r="B497" s="1617"/>
      <c r="C497" s="1618"/>
      <c r="D497" s="1619"/>
    </row>
    <row r="498" spans="2:4">
      <c r="B498" s="1617"/>
      <c r="C498" s="1618"/>
      <c r="D498" s="1619"/>
    </row>
    <row r="499" spans="2:4">
      <c r="B499" s="1617"/>
      <c r="C499" s="1618"/>
      <c r="D499" s="1619"/>
    </row>
    <row r="500" spans="2:4">
      <c r="B500" s="1617"/>
      <c r="C500" s="1618"/>
      <c r="D500" s="1619"/>
    </row>
    <row r="501" spans="2:4">
      <c r="B501" s="1617"/>
      <c r="C501" s="1618"/>
      <c r="D501" s="1619"/>
    </row>
    <row r="502" spans="2:4">
      <c r="B502" s="1617"/>
      <c r="C502" s="1618"/>
      <c r="D502" s="1619"/>
    </row>
    <row r="503" spans="2:4">
      <c r="B503" s="1617"/>
      <c r="C503" s="1618"/>
      <c r="D503" s="1619"/>
    </row>
    <row r="504" spans="2:4">
      <c r="B504" s="1617"/>
      <c r="C504" s="1618"/>
      <c r="D504" s="1619"/>
    </row>
    <row r="505" spans="2:4">
      <c r="B505" s="1617"/>
      <c r="C505" s="1618"/>
      <c r="D505" s="1619"/>
    </row>
    <row r="506" spans="2:4">
      <c r="B506" s="1617"/>
      <c r="C506" s="1618"/>
      <c r="D506" s="1619"/>
    </row>
    <row r="507" spans="2:4">
      <c r="B507" s="1617"/>
      <c r="C507" s="1618"/>
      <c r="D507" s="1619"/>
    </row>
    <row r="508" spans="2:4">
      <c r="B508" s="1617"/>
      <c r="C508" s="1618"/>
      <c r="D508" s="1619"/>
    </row>
    <row r="509" spans="2:4">
      <c r="B509" s="1617"/>
      <c r="C509" s="1618"/>
      <c r="D509" s="1619"/>
    </row>
    <row r="510" spans="2:4">
      <c r="B510" s="1617"/>
      <c r="C510" s="1618"/>
      <c r="D510" s="1619"/>
    </row>
    <row r="511" spans="2:4">
      <c r="B511" s="1617"/>
      <c r="C511" s="1618"/>
      <c r="D511" s="1619"/>
    </row>
    <row r="512" spans="2:4">
      <c r="B512" s="1617"/>
      <c r="C512" s="1618"/>
      <c r="D512" s="1619"/>
    </row>
    <row r="513" spans="2:4">
      <c r="B513" s="1617"/>
      <c r="C513" s="1618"/>
      <c r="D513" s="1619"/>
    </row>
    <row r="514" spans="2:4">
      <c r="B514" s="1617"/>
      <c r="C514" s="1618"/>
      <c r="D514" s="1619"/>
    </row>
    <row r="515" spans="2:4">
      <c r="B515" s="1617"/>
      <c r="C515" s="1618"/>
      <c r="D515" s="1619"/>
    </row>
    <row r="516" spans="2:4">
      <c r="B516" s="1617"/>
      <c r="C516" s="1618"/>
      <c r="D516" s="1619"/>
    </row>
    <row r="517" spans="2:4">
      <c r="B517" s="1617"/>
      <c r="C517" s="1618"/>
      <c r="D517" s="1619"/>
    </row>
    <row r="518" spans="2:4">
      <c r="B518" s="1617"/>
      <c r="C518" s="1618"/>
      <c r="D518" s="1619"/>
    </row>
    <row r="519" spans="2:4">
      <c r="B519" s="1617"/>
      <c r="C519" s="1618"/>
      <c r="D519" s="1619"/>
    </row>
    <row r="520" spans="2:4">
      <c r="B520" s="1617"/>
      <c r="C520" s="1618"/>
      <c r="D520" s="1619"/>
    </row>
    <row r="521" spans="2:4">
      <c r="B521" s="1617"/>
      <c r="C521" s="1618"/>
      <c r="D521" s="1619"/>
    </row>
    <row r="522" spans="2:4">
      <c r="B522" s="1617"/>
      <c r="C522" s="1618"/>
      <c r="D522" s="1619"/>
    </row>
    <row r="523" spans="2:4">
      <c r="B523" s="1617"/>
      <c r="C523" s="1618"/>
      <c r="D523" s="1619"/>
    </row>
    <row r="524" spans="2:4">
      <c r="B524" s="1617"/>
      <c r="C524" s="1618"/>
      <c r="D524" s="1619"/>
    </row>
    <row r="525" spans="2:4">
      <c r="B525" s="1617"/>
      <c r="C525" s="1618"/>
      <c r="D525" s="1619"/>
    </row>
    <row r="526" spans="2:4">
      <c r="B526" s="1617"/>
      <c r="C526" s="1618"/>
      <c r="D526" s="1619"/>
    </row>
    <row r="527" spans="2:4">
      <c r="B527" s="1617"/>
      <c r="C527" s="1618"/>
      <c r="D527" s="1619"/>
    </row>
    <row r="528" spans="2:4">
      <c r="B528" s="1617"/>
      <c r="C528" s="1618"/>
      <c r="D528" s="1619"/>
    </row>
    <row r="529" spans="2:4">
      <c r="B529" s="1617"/>
      <c r="C529" s="1618"/>
      <c r="D529" s="1619"/>
    </row>
    <row r="530" spans="2:4">
      <c r="B530" s="1617"/>
      <c r="C530" s="1618"/>
      <c r="D530" s="1619"/>
    </row>
    <row r="531" spans="2:4">
      <c r="B531" s="1617"/>
      <c r="C531" s="1618"/>
      <c r="D531" s="1619"/>
    </row>
    <row r="532" spans="2:4">
      <c r="B532" s="1617"/>
      <c r="C532" s="1618"/>
      <c r="D532" s="1619"/>
    </row>
    <row r="533" spans="2:4">
      <c r="B533" s="1617"/>
      <c r="C533" s="1618"/>
      <c r="D533" s="1619"/>
    </row>
    <row r="534" spans="2:4">
      <c r="B534" s="1617"/>
      <c r="C534" s="1618"/>
      <c r="D534" s="1619"/>
    </row>
    <row r="535" spans="2:4">
      <c r="B535" s="1617"/>
      <c r="C535" s="1618"/>
      <c r="D535" s="1619"/>
    </row>
    <row r="536" spans="2:4">
      <c r="B536" s="1617"/>
      <c r="C536" s="1618"/>
      <c r="D536" s="1619"/>
    </row>
    <row r="537" spans="2:4">
      <c r="B537" s="1617"/>
      <c r="C537" s="1618"/>
      <c r="D537" s="1619"/>
    </row>
    <row r="538" spans="2:4">
      <c r="B538" s="1617"/>
      <c r="C538" s="1618"/>
      <c r="D538" s="1619"/>
    </row>
    <row r="539" spans="2:4">
      <c r="B539" s="1617"/>
      <c r="C539" s="1618"/>
      <c r="D539" s="1619"/>
    </row>
    <row r="540" spans="2:4">
      <c r="B540" s="1617"/>
      <c r="C540" s="1618"/>
      <c r="D540" s="1619"/>
    </row>
    <row r="541" spans="2:4">
      <c r="B541" s="1617"/>
      <c r="C541" s="1618"/>
      <c r="D541" s="1619"/>
    </row>
    <row r="542" spans="2:4">
      <c r="B542" s="1617"/>
      <c r="C542" s="1618"/>
      <c r="D542" s="1619"/>
    </row>
    <row r="543" spans="2:4">
      <c r="B543" s="1617"/>
      <c r="C543" s="1618"/>
      <c r="D543" s="1619"/>
    </row>
    <row r="544" spans="2:4">
      <c r="B544" s="1617"/>
      <c r="C544" s="1618"/>
      <c r="D544" s="1619"/>
    </row>
    <row r="545" spans="2:4">
      <c r="B545" s="1617"/>
      <c r="C545" s="1618"/>
      <c r="D545" s="1619"/>
    </row>
    <row r="546" spans="2:4">
      <c r="B546" s="1617"/>
      <c r="C546" s="1618"/>
      <c r="D546" s="1619"/>
    </row>
    <row r="547" spans="2:4">
      <c r="B547" s="1617"/>
      <c r="C547" s="1618"/>
      <c r="D547" s="1619"/>
    </row>
    <row r="548" spans="2:4">
      <c r="B548" s="1617"/>
      <c r="C548" s="1618"/>
      <c r="D548" s="1619"/>
    </row>
    <row r="549" spans="2:4">
      <c r="B549" s="1617"/>
      <c r="C549" s="1618"/>
      <c r="D549" s="1619"/>
    </row>
    <row r="550" spans="2:4">
      <c r="B550" s="1617"/>
      <c r="C550" s="1618"/>
      <c r="D550" s="1619"/>
    </row>
    <row r="551" spans="2:4">
      <c r="B551" s="1617"/>
      <c r="C551" s="1618"/>
      <c r="D551" s="1619"/>
    </row>
    <row r="552" spans="2:4">
      <c r="B552" s="1617"/>
      <c r="C552" s="1618"/>
      <c r="D552" s="1619"/>
    </row>
    <row r="553" spans="2:4">
      <c r="B553" s="1617"/>
      <c r="C553" s="1618"/>
      <c r="D553" s="1619"/>
    </row>
    <row r="554" spans="2:4">
      <c r="B554" s="1617"/>
      <c r="C554" s="1618"/>
      <c r="D554" s="1619"/>
    </row>
    <row r="555" spans="2:4">
      <c r="B555" s="1617"/>
      <c r="C555" s="1618"/>
      <c r="D555" s="1619"/>
    </row>
    <row r="556" spans="2:4">
      <c r="B556" s="1617"/>
      <c r="C556" s="1618"/>
      <c r="D556" s="1619"/>
    </row>
    <row r="557" spans="2:4">
      <c r="B557" s="1617"/>
      <c r="C557" s="1618"/>
      <c r="D557" s="1619"/>
    </row>
    <row r="558" spans="2:4">
      <c r="B558" s="1617"/>
      <c r="C558" s="1618"/>
      <c r="D558" s="1619"/>
    </row>
    <row r="559" spans="2:4">
      <c r="B559" s="1617"/>
      <c r="C559" s="1618"/>
      <c r="D559" s="1619"/>
    </row>
    <row r="560" spans="2:4">
      <c r="B560" s="1617"/>
      <c r="C560" s="1618"/>
      <c r="D560" s="1619"/>
    </row>
    <row r="561" spans="2:4">
      <c r="B561" s="1617"/>
      <c r="C561" s="1618"/>
      <c r="D561" s="1619"/>
    </row>
    <row r="562" spans="2:4">
      <c r="B562" s="1617"/>
      <c r="C562" s="1618"/>
      <c r="D562" s="1619"/>
    </row>
    <row r="563" spans="2:4">
      <c r="B563" s="1617"/>
      <c r="C563" s="1618"/>
      <c r="D563" s="1619"/>
    </row>
    <row r="564" spans="2:4">
      <c r="B564" s="1617"/>
      <c r="C564" s="1618"/>
      <c r="D564" s="1619"/>
    </row>
    <row r="565" spans="2:4">
      <c r="B565" s="1617"/>
      <c r="C565" s="1618"/>
      <c r="D565" s="1619"/>
    </row>
    <row r="566" spans="2:4">
      <c r="B566" s="1617"/>
      <c r="C566" s="1618"/>
      <c r="D566" s="1619"/>
    </row>
    <row r="567" spans="2:4">
      <c r="B567" s="1617"/>
      <c r="C567" s="1618"/>
      <c r="D567" s="1619"/>
    </row>
    <row r="568" spans="2:4">
      <c r="B568" s="1617"/>
      <c r="C568" s="1618"/>
      <c r="D568" s="1619"/>
    </row>
    <row r="569" spans="2:4">
      <c r="B569" s="1617"/>
      <c r="C569" s="1618"/>
      <c r="D569" s="1619"/>
    </row>
    <row r="570" spans="2:4">
      <c r="B570" s="1617"/>
      <c r="C570" s="1618"/>
      <c r="D570" s="1619"/>
    </row>
    <row r="571" spans="2:4">
      <c r="B571" s="1617"/>
      <c r="C571" s="1618"/>
      <c r="D571" s="1619"/>
    </row>
    <row r="572" spans="2:4">
      <c r="B572" s="1617"/>
      <c r="C572" s="1618"/>
      <c r="D572" s="1619"/>
    </row>
    <row r="573" spans="2:4">
      <c r="B573" s="1617"/>
      <c r="C573" s="1618"/>
      <c r="D573" s="1619"/>
    </row>
    <row r="574" spans="2:4">
      <c r="B574" s="1617"/>
      <c r="C574" s="1618"/>
      <c r="D574" s="1619"/>
    </row>
    <row r="575" spans="2:4">
      <c r="B575" s="1617"/>
      <c r="C575" s="1618"/>
      <c r="D575" s="1619"/>
    </row>
    <row r="576" spans="2:4">
      <c r="B576" s="1617"/>
      <c r="C576" s="1618"/>
      <c r="D576" s="1619"/>
    </row>
    <row r="577" spans="2:4">
      <c r="B577" s="1617"/>
      <c r="C577" s="1618"/>
      <c r="D577" s="1619"/>
    </row>
    <row r="578" spans="2:4">
      <c r="B578" s="1617"/>
      <c r="C578" s="1618"/>
      <c r="D578" s="1619"/>
    </row>
    <row r="579" spans="2:4">
      <c r="B579" s="1617"/>
      <c r="C579" s="1618"/>
      <c r="D579" s="1619"/>
    </row>
    <row r="580" spans="2:4">
      <c r="B580" s="1617"/>
      <c r="C580" s="1618"/>
      <c r="D580" s="1619"/>
    </row>
    <row r="581" spans="2:4">
      <c r="B581" s="1617"/>
      <c r="C581" s="1618"/>
      <c r="D581" s="1619"/>
    </row>
    <row r="582" spans="2:4">
      <c r="B582" s="1617"/>
      <c r="C582" s="1618"/>
      <c r="D582" s="1619"/>
    </row>
    <row r="583" spans="2:4">
      <c r="B583" s="1617"/>
      <c r="C583" s="1618"/>
      <c r="D583" s="1619"/>
    </row>
    <row r="584" spans="2:4">
      <c r="B584" s="1617"/>
      <c r="C584" s="1618"/>
      <c r="D584" s="1619"/>
    </row>
    <row r="585" spans="2:4">
      <c r="B585" s="1617"/>
      <c r="C585" s="1618"/>
      <c r="D585" s="1619"/>
    </row>
    <row r="586" spans="2:4">
      <c r="B586" s="1617"/>
      <c r="C586" s="1618"/>
      <c r="D586" s="1619"/>
    </row>
    <row r="587" spans="2:4">
      <c r="B587" s="1617"/>
      <c r="C587" s="1618"/>
      <c r="D587" s="1619"/>
    </row>
    <row r="588" spans="2:4">
      <c r="B588" s="1617"/>
      <c r="C588" s="1618"/>
      <c r="D588" s="1619"/>
    </row>
    <row r="589" spans="2:4">
      <c r="B589" s="1617"/>
      <c r="C589" s="1618"/>
      <c r="D589" s="1619"/>
    </row>
    <row r="590" spans="2:4">
      <c r="B590" s="1617"/>
      <c r="C590" s="1618"/>
      <c r="D590" s="1619"/>
    </row>
    <row r="591" spans="2:4">
      <c r="B591" s="1617"/>
      <c r="C591" s="1618"/>
      <c r="D591" s="1619"/>
    </row>
    <row r="592" spans="2:4">
      <c r="B592" s="1617"/>
      <c r="C592" s="1618"/>
      <c r="D592" s="1619"/>
    </row>
    <row r="593" spans="2:4">
      <c r="B593" s="1617"/>
      <c r="C593" s="1618"/>
      <c r="D593" s="1619"/>
    </row>
    <row r="594" spans="2:4">
      <c r="B594" s="1617"/>
      <c r="C594" s="1618"/>
      <c r="D594" s="1619"/>
    </row>
    <row r="595" spans="2:4">
      <c r="B595" s="1617"/>
      <c r="C595" s="1618"/>
      <c r="D595" s="1619"/>
    </row>
    <row r="596" spans="2:4">
      <c r="B596" s="1617"/>
      <c r="C596" s="1618"/>
      <c r="D596" s="1619"/>
    </row>
    <row r="597" spans="2:4">
      <c r="B597" s="1617"/>
      <c r="C597" s="1618"/>
      <c r="D597" s="1619"/>
    </row>
    <row r="598" spans="2:4">
      <c r="B598" s="1617"/>
      <c r="C598" s="1618"/>
      <c r="D598" s="1619"/>
    </row>
    <row r="599" spans="2:4">
      <c r="B599" s="1617"/>
      <c r="C599" s="1618"/>
      <c r="D599" s="1619"/>
    </row>
    <row r="600" spans="2:4">
      <c r="B600" s="1617"/>
      <c r="C600" s="1618"/>
      <c r="D600" s="1619"/>
    </row>
    <row r="601" spans="2:4">
      <c r="B601" s="1617"/>
      <c r="C601" s="1618"/>
      <c r="D601" s="1619"/>
    </row>
    <row r="602" spans="2:4">
      <c r="B602" s="1617"/>
      <c r="C602" s="1618"/>
      <c r="D602" s="1619"/>
    </row>
    <row r="603" spans="2:4">
      <c r="B603" s="1617"/>
      <c r="C603" s="1618"/>
      <c r="D603" s="1619"/>
    </row>
    <row r="604" spans="2:4">
      <c r="B604" s="1617"/>
      <c r="C604" s="1618"/>
      <c r="D604" s="1619"/>
    </row>
    <row r="605" spans="2:4">
      <c r="B605" s="1617"/>
      <c r="C605" s="1618"/>
      <c r="D605" s="1619"/>
    </row>
    <row r="606" spans="2:4">
      <c r="B606" s="1617"/>
      <c r="C606" s="1618"/>
      <c r="D606" s="1619"/>
    </row>
    <row r="607" spans="2:4">
      <c r="B607" s="1617"/>
      <c r="C607" s="1618"/>
      <c r="D607" s="1619"/>
    </row>
    <row r="608" spans="2:4">
      <c r="B608" s="1617"/>
      <c r="C608" s="1618"/>
      <c r="D608" s="1619"/>
    </row>
    <row r="609" spans="2:4">
      <c r="B609" s="1617"/>
      <c r="C609" s="1618"/>
      <c r="D609" s="1619"/>
    </row>
    <row r="610" spans="2:4">
      <c r="B610" s="1617"/>
      <c r="C610" s="1618"/>
      <c r="D610" s="1619"/>
    </row>
    <row r="611" spans="2:4">
      <c r="B611" s="1617"/>
      <c r="C611" s="1618"/>
      <c r="D611" s="1619"/>
    </row>
    <row r="612" spans="2:4">
      <c r="B612" s="1617"/>
      <c r="C612" s="1618"/>
      <c r="D612" s="1619"/>
    </row>
    <row r="613" spans="2:4">
      <c r="B613" s="1617"/>
      <c r="C613" s="1618"/>
      <c r="D613" s="1619"/>
    </row>
    <row r="614" spans="2:4">
      <c r="B614" s="1617"/>
      <c r="C614" s="1618"/>
      <c r="D614" s="1619"/>
    </row>
    <row r="615" spans="2:4">
      <c r="B615" s="1617"/>
      <c r="C615" s="1618"/>
      <c r="D615" s="1619"/>
    </row>
    <row r="616" spans="2:4">
      <c r="B616" s="1617"/>
      <c r="C616" s="1618"/>
      <c r="D616" s="1619"/>
    </row>
    <row r="617" spans="2:4">
      <c r="B617" s="1617"/>
      <c r="C617" s="1618"/>
      <c r="D617" s="1619"/>
    </row>
    <row r="618" spans="2:4">
      <c r="B618" s="1617"/>
      <c r="C618" s="1618"/>
      <c r="D618" s="1619"/>
    </row>
    <row r="619" spans="2:4">
      <c r="B619" s="1617"/>
      <c r="C619" s="1618"/>
      <c r="D619" s="1619"/>
    </row>
    <row r="620" spans="2:4">
      <c r="B620" s="1617"/>
      <c r="C620" s="1618"/>
      <c r="D620" s="1619"/>
    </row>
    <row r="621" spans="2:4">
      <c r="B621" s="1617"/>
      <c r="C621" s="1618"/>
      <c r="D621" s="1619"/>
    </row>
    <row r="622" spans="2:4">
      <c r="B622" s="1617"/>
      <c r="C622" s="1618"/>
      <c r="D622" s="1619"/>
    </row>
    <row r="623" spans="2:4">
      <c r="B623" s="1617"/>
      <c r="C623" s="1618"/>
      <c r="D623" s="1619"/>
    </row>
    <row r="624" spans="2:4">
      <c r="B624" s="1617"/>
      <c r="C624" s="1618"/>
      <c r="D624" s="1619"/>
    </row>
    <row r="625" spans="2:4">
      <c r="B625" s="1617"/>
      <c r="C625" s="1618"/>
      <c r="D625" s="1619"/>
    </row>
    <row r="626" spans="2:4">
      <c r="B626" s="1617"/>
      <c r="C626" s="1618"/>
      <c r="D626" s="1619"/>
    </row>
    <row r="627" spans="2:4">
      <c r="B627" s="1617"/>
      <c r="C627" s="1618"/>
      <c r="D627" s="1619"/>
    </row>
    <row r="628" spans="2:4">
      <c r="B628" s="1617"/>
      <c r="C628" s="1618"/>
      <c r="D628" s="1619"/>
    </row>
    <row r="629" spans="2:4">
      <c r="B629" s="1617"/>
      <c r="C629" s="1618"/>
      <c r="D629" s="1619"/>
    </row>
    <row r="630" spans="2:4">
      <c r="B630" s="1617"/>
      <c r="C630" s="1618"/>
      <c r="D630" s="1619"/>
    </row>
    <row r="631" spans="2:4">
      <c r="B631" s="1617"/>
      <c r="C631" s="1618"/>
      <c r="D631" s="1619"/>
    </row>
    <row r="632" spans="2:4">
      <c r="B632" s="1617"/>
      <c r="C632" s="1618"/>
      <c r="D632" s="1619"/>
    </row>
    <row r="633" spans="2:4">
      <c r="B633" s="1617"/>
      <c r="C633" s="1618"/>
      <c r="D633" s="1619"/>
    </row>
    <row r="634" spans="2:4">
      <c r="B634" s="1617"/>
      <c r="C634" s="1618"/>
      <c r="D634" s="1619"/>
    </row>
    <row r="635" spans="2:4">
      <c r="B635" s="1617"/>
      <c r="C635" s="1618"/>
      <c r="D635" s="1619"/>
    </row>
    <row r="636" spans="2:4">
      <c r="B636" s="1617"/>
      <c r="C636" s="1618"/>
      <c r="D636" s="1619"/>
    </row>
    <row r="637" spans="2:4">
      <c r="B637" s="1617"/>
      <c r="C637" s="1618"/>
      <c r="D637" s="1619"/>
    </row>
    <row r="638" spans="2:4">
      <c r="B638" s="1617"/>
      <c r="C638" s="1618"/>
      <c r="D638" s="1619"/>
    </row>
    <row r="639" spans="2:4">
      <c r="B639" s="1617"/>
      <c r="C639" s="1618"/>
      <c r="D639" s="1619"/>
    </row>
    <row r="640" spans="2:4">
      <c r="B640" s="1617"/>
      <c r="C640" s="1618"/>
      <c r="D640" s="1619"/>
    </row>
    <row r="641" spans="2:4">
      <c r="B641" s="1617"/>
      <c r="C641" s="1618"/>
      <c r="D641" s="1619"/>
    </row>
    <row r="642" spans="2:4">
      <c r="B642" s="1617"/>
      <c r="C642" s="1618"/>
      <c r="D642" s="1619"/>
    </row>
    <row r="643" spans="2:4">
      <c r="B643" s="1617"/>
      <c r="C643" s="1618"/>
      <c r="D643" s="1619"/>
    </row>
    <row r="644" spans="2:4">
      <c r="B644" s="1617"/>
      <c r="C644" s="1618"/>
      <c r="D644" s="1619"/>
    </row>
    <row r="645" spans="2:4">
      <c r="B645" s="1617"/>
      <c r="C645" s="1618"/>
      <c r="D645" s="1619"/>
    </row>
    <row r="646" spans="2:4">
      <c r="B646" s="1617"/>
      <c r="C646" s="1618"/>
      <c r="D646" s="1619"/>
    </row>
    <row r="647" spans="2:4">
      <c r="B647" s="1617"/>
      <c r="C647" s="1618"/>
      <c r="D647" s="1619"/>
    </row>
    <row r="648" spans="2:4">
      <c r="B648" s="1617"/>
      <c r="C648" s="1618"/>
      <c r="D648" s="1619"/>
    </row>
    <row r="649" spans="2:4">
      <c r="B649" s="1617"/>
      <c r="C649" s="1618"/>
      <c r="D649" s="1619"/>
    </row>
    <row r="650" spans="2:4">
      <c r="B650" s="1617"/>
      <c r="C650" s="1618"/>
      <c r="D650" s="1619"/>
    </row>
    <row r="651" spans="2:4">
      <c r="B651" s="1617"/>
      <c r="C651" s="1618"/>
      <c r="D651" s="1619"/>
    </row>
    <row r="652" spans="2:4">
      <c r="B652" s="1617"/>
      <c r="C652" s="1618"/>
      <c r="D652" s="1619"/>
    </row>
    <row r="653" spans="2:4">
      <c r="B653" s="1617"/>
      <c r="C653" s="1618"/>
      <c r="D653" s="1619"/>
    </row>
    <row r="654" spans="2:4">
      <c r="B654" s="1617"/>
      <c r="C654" s="1618"/>
      <c r="D654" s="1619"/>
    </row>
    <row r="655" spans="2:4">
      <c r="B655" s="1617"/>
      <c r="C655" s="1618"/>
      <c r="D655" s="1619"/>
    </row>
    <row r="656" spans="2:4">
      <c r="B656" s="1617"/>
      <c r="C656" s="1618"/>
      <c r="D656" s="1619"/>
    </row>
    <row r="657" spans="2:4">
      <c r="B657" s="1617"/>
      <c r="C657" s="1618"/>
      <c r="D657" s="1619"/>
    </row>
    <row r="658" spans="2:4">
      <c r="B658" s="1617"/>
      <c r="C658" s="1618"/>
      <c r="D658" s="1619"/>
    </row>
    <row r="659" spans="2:4">
      <c r="B659" s="1617"/>
      <c r="C659" s="1618"/>
      <c r="D659" s="1619"/>
    </row>
    <row r="660" spans="2:4">
      <c r="B660" s="1617"/>
      <c r="C660" s="1618"/>
      <c r="D660" s="1619"/>
    </row>
    <row r="661" spans="2:4">
      <c r="B661" s="1617"/>
      <c r="C661" s="1618"/>
      <c r="D661" s="1619"/>
    </row>
    <row r="662" spans="2:4">
      <c r="B662" s="1617"/>
      <c r="C662" s="1618"/>
      <c r="D662" s="1619"/>
    </row>
    <row r="663" spans="2:4">
      <c r="B663" s="1617"/>
      <c r="C663" s="1618"/>
      <c r="D663" s="1619"/>
    </row>
    <row r="664" spans="2:4">
      <c r="B664" s="1617"/>
      <c r="C664" s="1618"/>
      <c r="D664" s="1619"/>
    </row>
    <row r="665" spans="2:4">
      <c r="B665" s="1617"/>
      <c r="C665" s="1618"/>
      <c r="D665" s="1619"/>
    </row>
    <row r="666" spans="2:4">
      <c r="B666" s="1617"/>
      <c r="C666" s="1618"/>
      <c r="D666" s="1619"/>
    </row>
    <row r="667" spans="2:4">
      <c r="B667" s="1617"/>
      <c r="C667" s="1618"/>
      <c r="D667" s="1619"/>
    </row>
    <row r="668" spans="2:4">
      <c r="B668" s="1617"/>
      <c r="C668" s="1618"/>
      <c r="D668" s="1619"/>
    </row>
    <row r="669" spans="2:4">
      <c r="B669" s="1617"/>
      <c r="C669" s="1618"/>
      <c r="D669" s="1619"/>
    </row>
    <row r="670" spans="2:4">
      <c r="B670" s="1617"/>
      <c r="C670" s="1618"/>
      <c r="D670" s="1619"/>
    </row>
    <row r="671" spans="2:4">
      <c r="B671" s="1617"/>
      <c r="C671" s="1618"/>
      <c r="D671" s="1619"/>
    </row>
    <row r="672" spans="2:4">
      <c r="B672" s="1617"/>
      <c r="C672" s="1618"/>
      <c r="D672" s="1619"/>
    </row>
    <row r="673" spans="2:4">
      <c r="B673" s="1617"/>
      <c r="C673" s="1618"/>
      <c r="D673" s="1619"/>
    </row>
    <row r="674" spans="2:4">
      <c r="B674" s="1617"/>
      <c r="C674" s="1618"/>
      <c r="D674" s="1619"/>
    </row>
    <row r="675" spans="2:4">
      <c r="B675" s="1617"/>
      <c r="C675" s="1618"/>
      <c r="D675" s="1619"/>
    </row>
    <row r="676" spans="2:4">
      <c r="B676" s="1617"/>
      <c r="C676" s="1618"/>
      <c r="D676" s="1619"/>
    </row>
    <row r="677" spans="2:4">
      <c r="B677" s="1617"/>
      <c r="C677" s="1618"/>
      <c r="D677" s="1619"/>
    </row>
    <row r="678" spans="2:4">
      <c r="B678" s="1617"/>
      <c r="C678" s="1618"/>
      <c r="D678" s="1619"/>
    </row>
    <row r="679" spans="2:4">
      <c r="B679" s="1617"/>
      <c r="C679" s="1618"/>
      <c r="D679" s="1619"/>
    </row>
    <row r="680" spans="2:4">
      <c r="B680" s="1617"/>
      <c r="C680" s="1618"/>
      <c r="D680" s="1619"/>
    </row>
    <row r="681" spans="2:4">
      <c r="B681" s="1617"/>
      <c r="C681" s="1618"/>
      <c r="D681" s="1619"/>
    </row>
    <row r="682" spans="2:4">
      <c r="B682" s="1617"/>
      <c r="C682" s="1618"/>
      <c r="D682" s="1619"/>
    </row>
    <row r="683" spans="2:4">
      <c r="B683" s="1617"/>
      <c r="C683" s="1618"/>
      <c r="D683" s="1619"/>
    </row>
    <row r="684" spans="2:4">
      <c r="B684" s="1617"/>
      <c r="C684" s="1618"/>
      <c r="D684" s="1619"/>
    </row>
    <row r="685" spans="2:4">
      <c r="B685" s="1617"/>
      <c r="C685" s="1618"/>
      <c r="D685" s="1619"/>
    </row>
    <row r="686" spans="2:4">
      <c r="B686" s="1617"/>
      <c r="C686" s="1618"/>
      <c r="D686" s="1619"/>
    </row>
    <row r="687" spans="2:4">
      <c r="B687" s="1617"/>
      <c r="C687" s="1618"/>
      <c r="D687" s="1619"/>
    </row>
    <row r="688" spans="2:4">
      <c r="B688" s="1617"/>
      <c r="C688" s="1618"/>
      <c r="D688" s="1619"/>
    </row>
    <row r="689" spans="2:4">
      <c r="B689" s="1617"/>
      <c r="C689" s="1618"/>
      <c r="D689" s="1619"/>
    </row>
    <row r="690" spans="2:4">
      <c r="B690" s="1617"/>
      <c r="C690" s="1618"/>
      <c r="D690" s="1619"/>
    </row>
    <row r="691" spans="2:4">
      <c r="B691" s="1617"/>
      <c r="C691" s="1618"/>
      <c r="D691" s="1619"/>
    </row>
    <row r="692" spans="2:4">
      <c r="B692" s="1617"/>
      <c r="C692" s="1618"/>
      <c r="D692" s="1619"/>
    </row>
    <row r="693" spans="2:4">
      <c r="B693" s="1617"/>
      <c r="C693" s="1618"/>
      <c r="D693" s="1619"/>
    </row>
    <row r="694" spans="2:4">
      <c r="B694" s="1617"/>
      <c r="C694" s="1618"/>
      <c r="D694" s="1619"/>
    </row>
    <row r="695" spans="2:4">
      <c r="B695" s="1617"/>
      <c r="C695" s="1618"/>
      <c r="D695" s="1619"/>
    </row>
    <row r="696" spans="2:4">
      <c r="B696" s="1617"/>
      <c r="C696" s="1618"/>
      <c r="D696" s="1619"/>
    </row>
    <row r="697" spans="2:4">
      <c r="B697" s="1617"/>
      <c r="C697" s="1618"/>
      <c r="D697" s="1619"/>
    </row>
    <row r="698" spans="2:4">
      <c r="B698" s="1617"/>
      <c r="C698" s="1618"/>
      <c r="D698" s="1619"/>
    </row>
    <row r="699" spans="2:4">
      <c r="B699" s="1617"/>
      <c r="C699" s="1618"/>
      <c r="D699" s="1619"/>
    </row>
    <row r="700" spans="2:4">
      <c r="B700" s="1617"/>
      <c r="C700" s="1618"/>
      <c r="D700" s="1619"/>
    </row>
    <row r="701" spans="2:4">
      <c r="B701" s="1617"/>
      <c r="C701" s="1618"/>
      <c r="D701" s="1619"/>
    </row>
    <row r="702" spans="2:4">
      <c r="B702" s="1617"/>
      <c r="C702" s="1618"/>
      <c r="D702" s="1619"/>
    </row>
    <row r="703" spans="2:4">
      <c r="B703" s="1617"/>
      <c r="C703" s="1618"/>
      <c r="D703" s="1619"/>
    </row>
    <row r="704" spans="2:4">
      <c r="B704" s="1617"/>
      <c r="C704" s="1618"/>
      <c r="D704" s="1619"/>
    </row>
    <row r="705" spans="2:4">
      <c r="B705" s="1617"/>
      <c r="C705" s="1618"/>
      <c r="D705" s="1619"/>
    </row>
    <row r="706" spans="2:4">
      <c r="B706" s="1617"/>
      <c r="C706" s="1618"/>
      <c r="D706" s="1619"/>
    </row>
    <row r="707" spans="2:4">
      <c r="B707" s="1617"/>
      <c r="C707" s="1618"/>
      <c r="D707" s="1619"/>
    </row>
    <row r="708" spans="2:4">
      <c r="B708" s="1617"/>
      <c r="C708" s="1618"/>
      <c r="D708" s="1619"/>
    </row>
    <row r="709" spans="2:4">
      <c r="B709" s="1617"/>
      <c r="C709" s="1618"/>
      <c r="D709" s="1619"/>
    </row>
    <row r="710" spans="2:4">
      <c r="B710" s="1617"/>
      <c r="C710" s="1618"/>
      <c r="D710" s="1619"/>
    </row>
    <row r="711" spans="2:4">
      <c r="B711" s="1617"/>
      <c r="C711" s="1618"/>
      <c r="D711" s="1619"/>
    </row>
    <row r="712" spans="2:4">
      <c r="B712" s="1617"/>
      <c r="C712" s="1618"/>
      <c r="D712" s="1619"/>
    </row>
    <row r="713" spans="2:4">
      <c r="B713" s="1617"/>
      <c r="C713" s="1618"/>
      <c r="D713" s="1619"/>
    </row>
    <row r="714" spans="2:4">
      <c r="B714" s="1617"/>
      <c r="C714" s="1618"/>
      <c r="D714" s="1619"/>
    </row>
    <row r="715" spans="2:4">
      <c r="B715" s="1617"/>
      <c r="C715" s="1618"/>
      <c r="D715" s="1619"/>
    </row>
    <row r="716" spans="2:4">
      <c r="B716" s="1617"/>
      <c r="C716" s="1618"/>
      <c r="D716" s="1619"/>
    </row>
    <row r="717" spans="2:4">
      <c r="B717" s="1617"/>
      <c r="C717" s="1618"/>
      <c r="D717" s="1619"/>
    </row>
    <row r="718" spans="2:4">
      <c r="B718" s="1617"/>
      <c r="C718" s="1618"/>
      <c r="D718" s="1619"/>
    </row>
    <row r="719" spans="2:4">
      <c r="B719" s="1617"/>
      <c r="C719" s="1618"/>
      <c r="D719" s="1619"/>
    </row>
    <row r="720" spans="2:4">
      <c r="B720" s="1617"/>
      <c r="C720" s="1618"/>
      <c r="D720" s="1619"/>
    </row>
    <row r="721" spans="2:4">
      <c r="B721" s="1617"/>
      <c r="C721" s="1618"/>
      <c r="D721" s="1619"/>
    </row>
    <row r="722" spans="2:4">
      <c r="B722" s="1617"/>
      <c r="C722" s="1618"/>
      <c r="D722" s="1619"/>
    </row>
    <row r="723" spans="2:4">
      <c r="B723" s="1617"/>
      <c r="C723" s="1618"/>
      <c r="D723" s="1619"/>
    </row>
    <row r="724" spans="2:4">
      <c r="B724" s="1617"/>
      <c r="C724" s="1618"/>
      <c r="D724" s="1619"/>
    </row>
    <row r="725" spans="2:4">
      <c r="B725" s="1617"/>
      <c r="C725" s="1618"/>
      <c r="D725" s="1619"/>
    </row>
    <row r="726" spans="2:4">
      <c r="B726" s="1617"/>
      <c r="C726" s="1618"/>
      <c r="D726" s="1619"/>
    </row>
    <row r="727" spans="2:4">
      <c r="B727" s="1617"/>
      <c r="C727" s="1618"/>
      <c r="D727" s="1619"/>
    </row>
    <row r="728" spans="2:4">
      <c r="B728" s="1617"/>
      <c r="C728" s="1618"/>
      <c r="D728" s="1619"/>
    </row>
    <row r="729" spans="2:4">
      <c r="B729" s="1617"/>
      <c r="C729" s="1618"/>
      <c r="D729" s="1619"/>
    </row>
    <row r="730" spans="2:4">
      <c r="B730" s="1617"/>
      <c r="C730" s="1618"/>
      <c r="D730" s="1619"/>
    </row>
    <row r="731" spans="2:4">
      <c r="B731" s="1617"/>
      <c r="C731" s="1618"/>
      <c r="D731" s="1619"/>
    </row>
    <row r="732" spans="2:4">
      <c r="B732" s="1617"/>
      <c r="C732" s="1618"/>
      <c r="D732" s="1619"/>
    </row>
    <row r="733" spans="2:4">
      <c r="B733" s="1617"/>
      <c r="C733" s="1618"/>
      <c r="D733" s="1619"/>
    </row>
    <row r="734" spans="2:4">
      <c r="B734" s="1617"/>
      <c r="C734" s="1618"/>
      <c r="D734" s="1619"/>
    </row>
    <row r="735" spans="2:4">
      <c r="B735" s="1617"/>
      <c r="C735" s="1618"/>
      <c r="D735" s="1619"/>
    </row>
    <row r="736" spans="2:4">
      <c r="B736" s="1617"/>
      <c r="C736" s="1618"/>
      <c r="D736" s="1619"/>
    </row>
    <row r="737" spans="2:4">
      <c r="B737" s="1617"/>
      <c r="C737" s="1618"/>
      <c r="D737" s="1619"/>
    </row>
    <row r="738" spans="2:4">
      <c r="B738" s="1617"/>
      <c r="C738" s="1618"/>
      <c r="D738" s="1619"/>
    </row>
    <row r="739" spans="2:4">
      <c r="B739" s="1617"/>
      <c r="C739" s="1618"/>
      <c r="D739" s="1619"/>
    </row>
    <row r="740" spans="2:4">
      <c r="B740" s="1617"/>
      <c r="C740" s="1618"/>
      <c r="D740" s="1619"/>
    </row>
    <row r="741" spans="2:4">
      <c r="B741" s="1617"/>
      <c r="C741" s="1618"/>
      <c r="D741" s="1619"/>
    </row>
    <row r="742" spans="2:4">
      <c r="B742" s="1617"/>
      <c r="C742" s="1618"/>
      <c r="D742" s="1619"/>
    </row>
    <row r="743" spans="2:4">
      <c r="B743" s="1617"/>
      <c r="C743" s="1618"/>
      <c r="D743" s="1619"/>
    </row>
    <row r="744" spans="2:4">
      <c r="B744" s="1617"/>
      <c r="C744" s="1618"/>
      <c r="D744" s="1619"/>
    </row>
    <row r="745" spans="2:4">
      <c r="B745" s="1617"/>
      <c r="C745" s="1618"/>
      <c r="D745" s="1619"/>
    </row>
    <row r="746" spans="2:4">
      <c r="B746" s="1617"/>
      <c r="C746" s="1618"/>
      <c r="D746" s="1619"/>
    </row>
    <row r="747" spans="2:4">
      <c r="B747" s="1617"/>
      <c r="C747" s="1618"/>
      <c r="D747" s="1619"/>
    </row>
    <row r="748" spans="2:4">
      <c r="B748" s="1617"/>
      <c r="C748" s="1618"/>
      <c r="D748" s="1619"/>
    </row>
    <row r="749" spans="2:4">
      <c r="B749" s="1617"/>
      <c r="C749" s="1618"/>
      <c r="D749" s="1619"/>
    </row>
    <row r="750" spans="2:4">
      <c r="B750" s="1617"/>
      <c r="C750" s="1618"/>
      <c r="D750" s="1619"/>
    </row>
    <row r="751" spans="2:4">
      <c r="B751" s="1617"/>
      <c r="C751" s="1618"/>
      <c r="D751" s="1619"/>
    </row>
    <row r="752" spans="2:4">
      <c r="B752" s="1617"/>
      <c r="C752" s="1618"/>
      <c r="D752" s="1619"/>
    </row>
    <row r="753" spans="2:4">
      <c r="B753" s="1617"/>
      <c r="C753" s="1618"/>
      <c r="D753" s="1619"/>
    </row>
    <row r="754" spans="2:4">
      <c r="B754" s="1617"/>
      <c r="C754" s="1618"/>
      <c r="D754" s="1619"/>
    </row>
    <row r="755" spans="2:4">
      <c r="B755" s="1617"/>
      <c r="C755" s="1618"/>
      <c r="D755" s="1619"/>
    </row>
    <row r="756" spans="2:4">
      <c r="B756" s="1617"/>
      <c r="C756" s="1618"/>
      <c r="D756" s="1619"/>
    </row>
    <row r="757" spans="2:4">
      <c r="B757" s="1617"/>
      <c r="C757" s="1618"/>
      <c r="D757" s="1619"/>
    </row>
    <row r="758" spans="2:4">
      <c r="B758" s="1617"/>
      <c r="C758" s="1618"/>
      <c r="D758" s="1619"/>
    </row>
    <row r="759" spans="2:4">
      <c r="B759" s="1617"/>
      <c r="C759" s="1618"/>
      <c r="D759" s="1619"/>
    </row>
    <row r="760" spans="2:4">
      <c r="B760" s="1617"/>
      <c r="C760" s="1618"/>
      <c r="D760" s="1619"/>
    </row>
    <row r="761" spans="2:4">
      <c r="B761" s="1617"/>
      <c r="C761" s="1618"/>
      <c r="D761" s="1619"/>
    </row>
    <row r="762" spans="2:4">
      <c r="B762" s="1617"/>
      <c r="C762" s="1618"/>
      <c r="D762" s="1619"/>
    </row>
    <row r="763" spans="2:4">
      <c r="B763" s="1617"/>
      <c r="C763" s="1618"/>
      <c r="D763" s="1619"/>
    </row>
    <row r="764" spans="2:4">
      <c r="B764" s="1617"/>
      <c r="C764" s="1618"/>
      <c r="D764" s="1619"/>
    </row>
    <row r="765" spans="2:4">
      <c r="B765" s="1617"/>
      <c r="C765" s="1618"/>
      <c r="D765" s="1619"/>
    </row>
    <row r="766" spans="2:4">
      <c r="B766" s="1617"/>
      <c r="C766" s="1618"/>
      <c r="D766" s="1619"/>
    </row>
    <row r="767" spans="2:4">
      <c r="B767" s="1617"/>
      <c r="C767" s="1618"/>
      <c r="D767" s="1619"/>
    </row>
    <row r="768" spans="2:4">
      <c r="B768" s="1617"/>
      <c r="C768" s="1618"/>
      <c r="D768" s="1619"/>
    </row>
    <row r="769" spans="2:4">
      <c r="B769" s="1617"/>
      <c r="C769" s="1618"/>
      <c r="D769" s="1619"/>
    </row>
    <row r="770" spans="2:4">
      <c r="B770" s="1617"/>
      <c r="C770" s="1618"/>
      <c r="D770" s="1619"/>
    </row>
    <row r="771" spans="2:4">
      <c r="B771" s="1617"/>
      <c r="C771" s="1618"/>
      <c r="D771" s="1619"/>
    </row>
    <row r="772" spans="2:4">
      <c r="B772" s="1617"/>
      <c r="C772" s="1618"/>
      <c r="D772" s="1619"/>
    </row>
    <row r="773" spans="2:4">
      <c r="B773" s="1617"/>
      <c r="C773" s="1618"/>
      <c r="D773" s="1619"/>
    </row>
    <row r="774" spans="2:4">
      <c r="B774" s="1617"/>
      <c r="C774" s="1618"/>
      <c r="D774" s="1619"/>
    </row>
    <row r="775" spans="2:4">
      <c r="B775" s="1617"/>
      <c r="C775" s="1618"/>
      <c r="D775" s="1619"/>
    </row>
    <row r="776" spans="2:4">
      <c r="B776" s="1617"/>
      <c r="C776" s="1618"/>
      <c r="D776" s="1619"/>
    </row>
    <row r="777" spans="2:4">
      <c r="B777" s="1617"/>
      <c r="C777" s="1618"/>
      <c r="D777" s="1619"/>
    </row>
    <row r="778" spans="2:4">
      <c r="B778" s="1617"/>
      <c r="C778" s="1618"/>
      <c r="D778" s="1619"/>
    </row>
    <row r="779" spans="2:4">
      <c r="B779" s="1617"/>
      <c r="C779" s="1618"/>
      <c r="D779" s="1619"/>
    </row>
    <row r="780" spans="2:4">
      <c r="B780" s="1617"/>
      <c r="C780" s="1618"/>
      <c r="D780" s="1619"/>
    </row>
    <row r="781" spans="2:4">
      <c r="B781" s="1617"/>
      <c r="C781" s="1618"/>
      <c r="D781" s="1619"/>
    </row>
    <row r="782" spans="2:4">
      <c r="B782" s="1617"/>
      <c r="C782" s="1618"/>
      <c r="D782" s="1619"/>
    </row>
    <row r="783" spans="2:4">
      <c r="B783" s="1617"/>
      <c r="C783" s="1618"/>
      <c r="D783" s="1619"/>
    </row>
    <row r="784" spans="2:4">
      <c r="B784" s="1617"/>
      <c r="C784" s="1618"/>
      <c r="D784" s="1619"/>
    </row>
    <row r="785" spans="2:4">
      <c r="B785" s="1617"/>
      <c r="C785" s="1618"/>
      <c r="D785" s="1619"/>
    </row>
    <row r="786" spans="2:4">
      <c r="B786" s="1617"/>
      <c r="C786" s="1618"/>
      <c r="D786" s="1619"/>
    </row>
    <row r="787" spans="2:4">
      <c r="B787" s="1617"/>
      <c r="C787" s="1618"/>
      <c r="D787" s="1619"/>
    </row>
  </sheetData>
  <sheetProtection select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K24"/>
  <sheetViews>
    <sheetView showGridLines="0" workbookViewId="0">
      <selection activeCell="H19" sqref="H19"/>
    </sheetView>
  </sheetViews>
  <sheetFormatPr defaultRowHeight="12.75"/>
  <cols>
    <col min="1" max="1" width="6.28515625" style="1626" bestFit="1" customWidth="1"/>
    <col min="2" max="3" width="9.140625" style="1626"/>
    <col min="4" max="4" width="16.5703125" style="1626" customWidth="1"/>
    <col min="5" max="5" width="9.140625" style="1626"/>
    <col min="6" max="6" width="35.5703125" style="1626" bestFit="1" customWidth="1"/>
    <col min="7" max="7" width="11.7109375" style="1626" bestFit="1" customWidth="1"/>
    <col min="8" max="8" width="9.7109375" style="1626" bestFit="1" customWidth="1"/>
    <col min="9" max="9" width="13.42578125" style="1626" bestFit="1" customWidth="1"/>
    <col min="10" max="10" width="10.85546875" style="1626" bestFit="1" customWidth="1"/>
    <col min="11" max="11" width="41.85546875" style="1626" customWidth="1"/>
    <col min="12" max="16384" width="9.140625" style="1626"/>
  </cols>
  <sheetData>
    <row r="1" spans="1:11">
      <c r="A1" s="1681" t="s">
        <v>1308</v>
      </c>
      <c r="B1" s="1681"/>
      <c r="C1" s="1682" t="str">
        <f>'UDA Documentation'!B3</f>
        <v>2015 Rental Disbursement Workbook_Final</v>
      </c>
      <c r="D1" s="1682"/>
      <c r="E1" s="1682"/>
      <c r="F1" s="1682"/>
      <c r="G1" s="1652"/>
      <c r="H1" s="1652"/>
      <c r="I1" s="1652"/>
      <c r="J1" s="1652"/>
      <c r="K1" s="1652"/>
    </row>
    <row r="2" spans="1:11">
      <c r="A2" s="1681" t="s">
        <v>1309</v>
      </c>
      <c r="B2" s="1681"/>
      <c r="C2" s="1653">
        <f>'UDA Documentation'!B2</f>
        <v>25019</v>
      </c>
      <c r="D2" s="1652"/>
      <c r="E2" s="1652"/>
      <c r="F2" s="1654"/>
      <c r="G2" s="1652"/>
      <c r="H2" s="1652"/>
      <c r="I2" s="1652"/>
      <c r="J2" s="1652"/>
      <c r="K2" s="1652"/>
    </row>
    <row r="3" spans="1:11">
      <c r="A3" s="1654"/>
      <c r="B3" s="1655"/>
      <c r="C3" s="1656"/>
      <c r="D3" s="1656"/>
      <c r="E3" s="1656"/>
      <c r="F3" s="1655"/>
      <c r="G3" s="1656"/>
      <c r="H3" s="1656"/>
      <c r="I3" s="1656"/>
      <c r="J3" s="1656"/>
      <c r="K3" s="1656"/>
    </row>
    <row r="4" spans="1:11" ht="21.75" customHeight="1">
      <c r="A4" s="1679" t="s">
        <v>1310</v>
      </c>
      <c r="B4" s="1679" t="s">
        <v>1311</v>
      </c>
      <c r="C4" s="1680" t="s">
        <v>1312</v>
      </c>
      <c r="D4" s="1680"/>
      <c r="E4" s="1680"/>
      <c r="F4" s="1662" t="s">
        <v>1313</v>
      </c>
      <c r="G4" s="1679" t="s">
        <v>1314</v>
      </c>
      <c r="H4" s="1680"/>
      <c r="I4" s="1680"/>
      <c r="J4" s="1679" t="s">
        <v>1315</v>
      </c>
      <c r="K4" s="1679" t="s">
        <v>1316</v>
      </c>
    </row>
    <row r="5" spans="1:11" ht="26.25" customHeight="1">
      <c r="A5" s="1679"/>
      <c r="B5" s="1680"/>
      <c r="C5" s="1657" t="s">
        <v>1317</v>
      </c>
      <c r="D5" s="1657" t="s">
        <v>1318</v>
      </c>
      <c r="E5" s="1657" t="s">
        <v>1319</v>
      </c>
      <c r="F5" s="1663"/>
      <c r="G5" s="1657" t="s">
        <v>1320</v>
      </c>
      <c r="H5" s="1657" t="s">
        <v>1321</v>
      </c>
      <c r="I5" s="1657" t="s">
        <v>1322</v>
      </c>
      <c r="J5" s="1679"/>
      <c r="K5" s="1680"/>
    </row>
    <row r="6" spans="1:11" ht="33.75">
      <c r="A6" s="1658">
        <v>1</v>
      </c>
      <c r="B6" s="1659">
        <v>42758</v>
      </c>
      <c r="C6" s="1660"/>
      <c r="D6" s="1660"/>
      <c r="E6" s="1660" t="s">
        <v>1323</v>
      </c>
      <c r="F6" s="1661" t="s">
        <v>1324</v>
      </c>
      <c r="G6" s="1658" t="s">
        <v>1282</v>
      </c>
      <c r="H6" s="1658" t="s">
        <v>1325</v>
      </c>
      <c r="I6" s="1658" t="s">
        <v>1326</v>
      </c>
      <c r="J6" s="1659">
        <v>42765</v>
      </c>
      <c r="K6" s="1661" t="s">
        <v>1327</v>
      </c>
    </row>
    <row r="7" spans="1:11" ht="33.75">
      <c r="A7" s="1658">
        <v>2</v>
      </c>
      <c r="B7" s="1659">
        <v>42907</v>
      </c>
      <c r="C7" s="1660"/>
      <c r="D7" s="1660"/>
      <c r="E7" s="1660" t="s">
        <v>1323</v>
      </c>
      <c r="F7" s="1661" t="s">
        <v>1328</v>
      </c>
      <c r="G7" s="1658" t="s">
        <v>1282</v>
      </c>
      <c r="H7" s="1658" t="s">
        <v>1325</v>
      </c>
      <c r="I7" s="1658" t="s">
        <v>1326</v>
      </c>
      <c r="J7" s="1659">
        <v>42908</v>
      </c>
      <c r="K7" s="1661" t="s">
        <v>1329</v>
      </c>
    </row>
    <row r="8" spans="1:11" s="1664" customFormat="1" ht="33.75">
      <c r="A8" s="1658">
        <v>3</v>
      </c>
      <c r="B8" s="1659">
        <v>43103</v>
      </c>
      <c r="C8" s="1660"/>
      <c r="D8" s="1660"/>
      <c r="E8" s="1660" t="s">
        <v>1323</v>
      </c>
      <c r="F8" s="1661" t="s">
        <v>1330</v>
      </c>
      <c r="G8" s="1658" t="s">
        <v>1282</v>
      </c>
      <c r="H8" s="1658" t="s">
        <v>1325</v>
      </c>
      <c r="I8" s="1658" t="s">
        <v>1326</v>
      </c>
      <c r="J8" s="1659">
        <v>43105</v>
      </c>
      <c r="K8" s="1661" t="s">
        <v>1332</v>
      </c>
    </row>
    <row r="9" spans="1:11" s="1664" customFormat="1">
      <c r="A9" s="1658"/>
      <c r="B9" s="1659"/>
      <c r="C9" s="1660"/>
      <c r="D9" s="1660"/>
      <c r="E9" s="1660"/>
      <c r="F9" s="1661"/>
      <c r="G9" s="1658"/>
      <c r="H9" s="1658"/>
      <c r="I9" s="1658"/>
      <c r="J9" s="1665"/>
      <c r="K9" s="1658"/>
    </row>
    <row r="10" spans="1:11" s="1664" customFormat="1">
      <c r="A10" s="1658"/>
      <c r="B10" s="1659"/>
      <c r="C10" s="1660"/>
      <c r="D10" s="1660"/>
      <c r="E10" s="1660"/>
      <c r="F10" s="1661"/>
      <c r="G10" s="1658"/>
      <c r="H10" s="1658"/>
      <c r="I10" s="1658"/>
      <c r="J10" s="1665"/>
      <c r="K10" s="1658"/>
    </row>
    <row r="11" spans="1:11" s="1664" customFormat="1">
      <c r="A11" s="1658"/>
      <c r="B11" s="1659"/>
      <c r="C11" s="1660"/>
      <c r="D11" s="1660"/>
      <c r="E11" s="1660"/>
      <c r="F11" s="1661"/>
      <c r="G11" s="1658"/>
      <c r="H11" s="1658"/>
      <c r="I11" s="1658"/>
      <c r="J11" s="1665"/>
      <c r="K11" s="1658"/>
    </row>
    <row r="12" spans="1:11" s="1664" customFormat="1">
      <c r="A12" s="1658"/>
      <c r="B12" s="1659"/>
      <c r="C12" s="1660"/>
      <c r="D12" s="1660"/>
      <c r="E12" s="1660"/>
      <c r="F12" s="1661"/>
      <c r="G12" s="1658"/>
      <c r="H12" s="1658"/>
      <c r="I12" s="1658"/>
      <c r="J12" s="1665"/>
      <c r="K12" s="1658"/>
    </row>
    <row r="13" spans="1:11" s="1664" customFormat="1">
      <c r="A13" s="1658"/>
      <c r="B13" s="1659"/>
      <c r="C13" s="1660"/>
      <c r="D13" s="1660"/>
      <c r="E13" s="1660"/>
      <c r="F13" s="1661"/>
      <c r="G13" s="1658"/>
      <c r="H13" s="1658"/>
      <c r="I13" s="1658"/>
      <c r="J13" s="1665"/>
      <c r="K13" s="1658"/>
    </row>
    <row r="14" spans="1:11" s="1664" customFormat="1">
      <c r="A14" s="1658"/>
      <c r="B14" s="1659"/>
      <c r="C14" s="1660"/>
      <c r="D14" s="1660"/>
      <c r="E14" s="1660"/>
      <c r="F14" s="1661"/>
      <c r="G14" s="1658"/>
      <c r="H14" s="1658"/>
      <c r="I14" s="1658"/>
      <c r="J14" s="1665"/>
      <c r="K14" s="1658"/>
    </row>
    <row r="15" spans="1:11" s="1664" customFormat="1">
      <c r="A15" s="1658"/>
      <c r="B15" s="1659"/>
      <c r="C15" s="1660"/>
      <c r="D15" s="1660"/>
      <c r="E15" s="1660"/>
      <c r="F15" s="1661"/>
      <c r="G15" s="1658"/>
      <c r="H15" s="1658"/>
      <c r="I15" s="1658"/>
      <c r="J15" s="1665"/>
      <c r="K15" s="1658"/>
    </row>
    <row r="16" spans="1:11" s="1664" customFormat="1">
      <c r="A16" s="1658"/>
      <c r="B16" s="1659"/>
      <c r="C16" s="1660"/>
      <c r="D16" s="1660"/>
      <c r="E16" s="1660"/>
      <c r="F16" s="1661"/>
      <c r="G16" s="1658"/>
      <c r="H16" s="1658"/>
      <c r="I16" s="1658"/>
      <c r="J16" s="1665"/>
      <c r="K16" s="1658"/>
    </row>
    <row r="17" spans="1:11" s="1664" customFormat="1">
      <c r="A17" s="1658"/>
      <c r="B17" s="1659"/>
      <c r="C17" s="1660"/>
      <c r="D17" s="1660"/>
      <c r="E17" s="1660"/>
      <c r="F17" s="1661"/>
      <c r="G17" s="1658"/>
      <c r="H17" s="1658"/>
      <c r="I17" s="1658"/>
      <c r="J17" s="1665"/>
      <c r="K17" s="1658"/>
    </row>
    <row r="18" spans="1:11" s="1664" customFormat="1">
      <c r="A18" s="1658"/>
      <c r="B18" s="1659"/>
      <c r="C18" s="1660"/>
      <c r="D18" s="1660"/>
      <c r="E18" s="1660"/>
      <c r="F18" s="1661"/>
      <c r="G18" s="1658"/>
      <c r="H18" s="1658"/>
      <c r="I18" s="1658"/>
      <c r="J18" s="1665"/>
      <c r="K18" s="1658"/>
    </row>
    <row r="19" spans="1:11" s="1664" customFormat="1">
      <c r="A19" s="1658"/>
      <c r="B19" s="1659"/>
      <c r="C19" s="1660"/>
      <c r="D19" s="1660"/>
      <c r="E19" s="1660"/>
      <c r="F19" s="1661"/>
      <c r="G19" s="1658"/>
      <c r="H19" s="1658"/>
      <c r="I19" s="1658"/>
      <c r="J19" s="1665"/>
      <c r="K19" s="1658"/>
    </row>
    <row r="20" spans="1:11" s="1664" customFormat="1">
      <c r="A20" s="1658"/>
      <c r="B20" s="1659"/>
      <c r="C20" s="1660"/>
      <c r="D20" s="1660"/>
      <c r="E20" s="1660"/>
      <c r="F20" s="1661"/>
      <c r="G20" s="1658"/>
      <c r="H20" s="1658"/>
      <c r="I20" s="1658"/>
      <c r="J20" s="1665"/>
      <c r="K20" s="1658"/>
    </row>
    <row r="21" spans="1:11" s="1664" customFormat="1">
      <c r="A21" s="1658"/>
      <c r="B21" s="1659"/>
      <c r="C21" s="1660"/>
      <c r="D21" s="1660"/>
      <c r="E21" s="1660"/>
      <c r="F21" s="1661"/>
      <c r="G21" s="1658"/>
      <c r="H21" s="1658"/>
      <c r="I21" s="1658"/>
      <c r="J21" s="1665"/>
      <c r="K21" s="1658"/>
    </row>
    <row r="22" spans="1:11" s="1664" customFormat="1">
      <c r="A22" s="1658"/>
      <c r="B22" s="1659"/>
      <c r="C22" s="1660"/>
      <c r="D22" s="1660"/>
      <c r="E22" s="1660"/>
      <c r="F22" s="1661"/>
      <c r="G22" s="1658"/>
      <c r="H22" s="1658"/>
      <c r="I22" s="1658"/>
      <c r="J22" s="1665"/>
      <c r="K22" s="1658"/>
    </row>
    <row r="23" spans="1:11" s="1664" customFormat="1">
      <c r="A23" s="1658"/>
      <c r="B23" s="1659"/>
      <c r="C23" s="1660"/>
      <c r="D23" s="1660"/>
      <c r="E23" s="1660"/>
      <c r="F23" s="1661"/>
      <c r="G23" s="1658"/>
      <c r="H23" s="1658"/>
      <c r="I23" s="1658"/>
      <c r="J23" s="1665"/>
      <c r="K23" s="1658"/>
    </row>
    <row r="24" spans="1:11" s="1664" customFormat="1">
      <c r="A24" s="1658"/>
      <c r="B24" s="1659"/>
      <c r="C24" s="1660"/>
      <c r="D24" s="1660"/>
      <c r="E24" s="1660"/>
      <c r="F24" s="1661"/>
      <c r="G24" s="1658"/>
      <c r="H24" s="1658"/>
      <c r="I24" s="1658"/>
      <c r="J24" s="1665"/>
      <c r="K24" s="1658"/>
    </row>
  </sheetData>
  <mergeCells count="9">
    <mergeCell ref="G4:I4"/>
    <mergeCell ref="J4:J5"/>
    <mergeCell ref="K4:K5"/>
    <mergeCell ref="A1:B1"/>
    <mergeCell ref="C1:F1"/>
    <mergeCell ref="A2:B2"/>
    <mergeCell ref="A4:A5"/>
    <mergeCell ref="B4:B5"/>
    <mergeCell ref="C4:E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H172"/>
  <sheetViews>
    <sheetView showGridLines="0" tabSelected="1" zoomScale="90" zoomScaleNormal="90" zoomScaleSheetLayoutView="70" workbookViewId="0">
      <pane ySplit="23" topLeftCell="A24" activePane="bottomLeft" state="frozen"/>
      <selection pane="bottomLeft" activeCell="E7" sqref="E7"/>
    </sheetView>
  </sheetViews>
  <sheetFormatPr defaultColWidth="9.140625" defaultRowHeight="12"/>
  <cols>
    <col min="1" max="2" width="1.140625" style="1" customWidth="1"/>
    <col min="3" max="3" width="5.5703125" style="1" customWidth="1"/>
    <col min="4" max="4" width="6" style="1" customWidth="1"/>
    <col min="5" max="6" width="15" style="1" customWidth="1"/>
    <col min="7" max="7" width="12.28515625" style="1" customWidth="1"/>
    <col min="8" max="8" width="13.28515625" style="1" customWidth="1"/>
    <col min="9" max="10" width="12.28515625" style="1" customWidth="1"/>
    <col min="11" max="11" width="1.5703125" style="1" customWidth="1"/>
    <col min="12" max="12" width="12.5703125" style="1" customWidth="1"/>
    <col min="13" max="13" width="14.42578125" style="1" customWidth="1"/>
    <col min="14" max="14" width="10.85546875" style="1" customWidth="1"/>
    <col min="15" max="16" width="12.140625" style="1" customWidth="1"/>
    <col min="17" max="17" width="9.140625" style="1"/>
    <col min="18" max="18" width="13.5703125" style="1" customWidth="1"/>
    <col min="19" max="19" width="9.140625" style="1"/>
    <col min="20" max="20" width="9.140625" style="1" hidden="1" customWidth="1"/>
    <col min="21" max="21" width="16" style="1" hidden="1" customWidth="1"/>
    <col min="22" max="22" width="9.140625" style="1" hidden="1" customWidth="1"/>
    <col min="23" max="23" width="23" style="1" hidden="1" customWidth="1"/>
    <col min="24" max="24" width="16" style="1" hidden="1" customWidth="1"/>
    <col min="25" max="27" width="9.140625" style="1" hidden="1" customWidth="1"/>
    <col min="28" max="28" width="16" style="1" hidden="1" customWidth="1"/>
    <col min="29" max="29" width="10.7109375" style="1" hidden="1" customWidth="1"/>
    <col min="30" max="34" width="9.140625" style="1" hidden="1" customWidth="1"/>
    <col min="35" max="37" width="9.140625" style="1" customWidth="1"/>
    <col min="38" max="16384" width="9.140625" style="1"/>
  </cols>
  <sheetData>
    <row r="1" spans="2:25" ht="15" customHeight="1">
      <c r="B1" s="40"/>
      <c r="C1" s="40"/>
      <c r="D1" s="40"/>
      <c r="E1" s="40"/>
      <c r="F1" s="40"/>
      <c r="G1" s="40"/>
      <c r="H1" s="40"/>
      <c r="I1" s="40"/>
      <c r="J1" s="40"/>
      <c r="K1" s="1765" t="s">
        <v>1162</v>
      </c>
      <c r="L1" s="1765"/>
      <c r="M1" s="1765"/>
      <c r="N1" s="1765"/>
      <c r="O1" s="1765"/>
      <c r="P1" s="1765"/>
      <c r="Q1" s="1765"/>
      <c r="R1" s="1765"/>
      <c r="X1" s="1" t="s">
        <v>44</v>
      </c>
      <c r="Y1" s="1" t="s">
        <v>965</v>
      </c>
    </row>
    <row r="2" spans="2:25" ht="13.5" customHeight="1">
      <c r="B2" s="40"/>
      <c r="C2" s="40"/>
      <c r="D2" s="8"/>
      <c r="E2" s="40"/>
      <c r="F2" s="40"/>
      <c r="G2" s="40"/>
      <c r="H2" s="40"/>
      <c r="I2" s="40"/>
      <c r="J2" s="40"/>
      <c r="K2" s="114"/>
      <c r="L2" s="114"/>
      <c r="M2" s="115"/>
      <c r="N2" s="115"/>
      <c r="O2" s="1766" t="s">
        <v>1331</v>
      </c>
      <c r="P2" s="1766"/>
      <c r="Q2" s="1766"/>
      <c r="R2" s="1766"/>
      <c r="X2" s="1" t="s">
        <v>1170</v>
      </c>
      <c r="Y2" s="798" t="s">
        <v>44</v>
      </c>
    </row>
    <row r="3" spans="2:25" ht="30" customHeight="1">
      <c r="B3" s="40"/>
      <c r="C3" s="40"/>
      <c r="D3" s="8"/>
      <c r="E3" s="40"/>
      <c r="F3" s="40"/>
      <c r="G3" s="40"/>
      <c r="H3" s="40"/>
      <c r="I3" s="40"/>
      <c r="J3" s="40"/>
      <c r="K3" s="114"/>
      <c r="L3" s="114"/>
      <c r="M3" s="115"/>
      <c r="N3" s="115"/>
      <c r="O3" s="664"/>
      <c r="P3" s="664"/>
      <c r="Q3" s="664"/>
      <c r="R3" s="664"/>
      <c r="X3" s="1" t="s">
        <v>966</v>
      </c>
      <c r="Y3" s="798" t="s">
        <v>1170</v>
      </c>
    </row>
    <row r="4" spans="2:25" ht="13.5" customHeight="1">
      <c r="B4" s="40"/>
      <c r="C4" s="40"/>
      <c r="D4" s="8"/>
      <c r="E4" s="40"/>
      <c r="F4" s="40"/>
      <c r="G4" s="40"/>
      <c r="H4" s="40"/>
      <c r="I4" s="40"/>
      <c r="J4" s="40"/>
      <c r="K4" s="114"/>
      <c r="L4" s="114"/>
      <c r="M4" s="115"/>
      <c r="N4" s="115"/>
      <c r="O4" s="664"/>
      <c r="P4" s="664"/>
      <c r="Q4" s="664"/>
      <c r="R4" s="664"/>
      <c r="Y4" s="798" t="s">
        <v>966</v>
      </c>
    </row>
    <row r="5" spans="2:25" ht="24" customHeight="1">
      <c r="B5" s="40"/>
      <c r="C5" s="40"/>
      <c r="D5" s="8"/>
      <c r="E5" s="40"/>
      <c r="F5" s="40"/>
      <c r="G5" s="40"/>
      <c r="H5" s="40"/>
      <c r="I5" s="40"/>
      <c r="J5" s="40"/>
      <c r="K5" s="114"/>
      <c r="L5" s="114"/>
      <c r="M5" s="115"/>
      <c r="N5" s="115"/>
      <c r="O5" s="664"/>
      <c r="P5" s="664"/>
      <c r="Q5" s="664"/>
      <c r="R5" s="664"/>
    </row>
    <row r="6" spans="2:25" ht="4.5" customHeight="1">
      <c r="C6" s="1792" t="s">
        <v>937</v>
      </c>
      <c r="D6" s="1793"/>
      <c r="E6" s="68"/>
      <c r="G6" s="474"/>
      <c r="H6" s="474"/>
      <c r="I6" s="474"/>
      <c r="J6" s="474"/>
      <c r="K6" s="474"/>
      <c r="L6" s="474"/>
      <c r="M6" s="474"/>
      <c r="N6" s="428"/>
      <c r="O6" s="474"/>
    </row>
    <row r="7" spans="2:25" ht="36.75" customHeight="1">
      <c r="C7" s="1794"/>
      <c r="D7" s="1795"/>
      <c r="E7" s="807" t="s">
        <v>838</v>
      </c>
      <c r="F7" s="804" t="s">
        <v>832</v>
      </c>
      <c r="G7" s="804" t="s">
        <v>833</v>
      </c>
      <c r="H7" s="805" t="s">
        <v>852</v>
      </c>
      <c r="I7" s="805" t="s">
        <v>834</v>
      </c>
      <c r="J7" s="1773" t="s">
        <v>836</v>
      </c>
      <c r="K7" s="1774"/>
      <c r="L7" s="1301" t="s">
        <v>1171</v>
      </c>
      <c r="M7" s="1301" t="s">
        <v>853</v>
      </c>
      <c r="N7" s="910" t="s">
        <v>855</v>
      </c>
    </row>
    <row r="8" spans="2:25" ht="3" customHeight="1">
      <c r="B8" s="162"/>
      <c r="C8" s="1794"/>
      <c r="D8" s="1795"/>
      <c r="E8" s="374"/>
      <c r="F8" s="374"/>
      <c r="G8" s="374"/>
      <c r="H8" s="374"/>
      <c r="I8" s="374"/>
      <c r="J8" s="374"/>
      <c r="K8" s="374"/>
      <c r="L8" s="374"/>
      <c r="M8" s="374"/>
      <c r="N8" s="374"/>
      <c r="O8" s="374"/>
      <c r="P8" s="374"/>
      <c r="Q8" s="374"/>
      <c r="R8" s="374"/>
      <c r="S8" s="1">
        <f>IF(K20="Yes",1,0)</f>
        <v>0</v>
      </c>
      <c r="T8" s="1">
        <f>SUM(R8:S8)</f>
        <v>0</v>
      </c>
    </row>
    <row r="9" spans="2:25" ht="3" customHeight="1">
      <c r="B9" s="56"/>
      <c r="C9" s="706"/>
      <c r="D9" s="706"/>
      <c r="E9" s="448"/>
      <c r="F9" s="448"/>
      <c r="G9" s="448"/>
      <c r="H9" s="448"/>
      <c r="I9" s="448"/>
      <c r="J9" s="448"/>
      <c r="K9" s="448"/>
      <c r="L9" s="448"/>
      <c r="M9" s="448"/>
      <c r="N9" s="448"/>
      <c r="O9" s="448"/>
      <c r="P9" s="448"/>
      <c r="Q9" s="448"/>
      <c r="R9" s="448"/>
    </row>
    <row r="10" spans="2:25" ht="3" customHeight="1">
      <c r="B10" s="56"/>
      <c r="C10" s="706"/>
      <c r="D10" s="706"/>
      <c r="E10" s="448"/>
      <c r="F10" s="448"/>
      <c r="G10" s="448"/>
      <c r="H10" s="448"/>
      <c r="I10" s="448"/>
      <c r="J10" s="448"/>
      <c r="K10" s="448"/>
      <c r="L10" s="448"/>
      <c r="M10" s="448"/>
      <c r="N10" s="448"/>
      <c r="O10" s="448"/>
      <c r="P10" s="448"/>
      <c r="Q10" s="448"/>
      <c r="R10" s="448"/>
    </row>
    <row r="11" spans="2:25" ht="3" customHeight="1">
      <c r="B11" s="56"/>
      <c r="C11" s="706"/>
      <c r="D11" s="706"/>
      <c r="E11" s="448"/>
      <c r="F11" s="448"/>
      <c r="G11" s="448"/>
      <c r="H11" s="448"/>
      <c r="I11" s="448"/>
      <c r="J11" s="448"/>
      <c r="K11" s="448"/>
      <c r="L11" s="448"/>
      <c r="M11" s="448"/>
      <c r="N11" s="448"/>
      <c r="O11" s="448"/>
      <c r="P11" s="448"/>
      <c r="Q11" s="448"/>
      <c r="R11" s="448"/>
    </row>
    <row r="12" spans="2:25" ht="3" customHeight="1">
      <c r="B12" s="56"/>
      <c r="C12" s="706"/>
      <c r="D12" s="706"/>
      <c r="E12" s="448"/>
      <c r="F12" s="448"/>
      <c r="G12" s="448"/>
      <c r="H12" s="448"/>
      <c r="I12" s="448"/>
      <c r="J12" s="448"/>
      <c r="K12" s="448"/>
      <c r="L12" s="448"/>
      <c r="M12" s="448"/>
      <c r="N12" s="448"/>
      <c r="O12" s="448"/>
      <c r="P12" s="448"/>
      <c r="Q12" s="448"/>
      <c r="R12" s="448"/>
    </row>
    <row r="13" spans="2:25" ht="3" customHeight="1">
      <c r="B13" s="56"/>
      <c r="C13" s="706"/>
      <c r="D13" s="706"/>
      <c r="E13" s="448"/>
      <c r="F13" s="448"/>
      <c r="G13" s="448"/>
      <c r="H13" s="448"/>
      <c r="I13" s="448"/>
      <c r="J13" s="448"/>
      <c r="K13" s="448"/>
      <c r="L13" s="448"/>
      <c r="M13" s="448"/>
      <c r="N13" s="448"/>
      <c r="O13" s="448"/>
      <c r="P13" s="448"/>
      <c r="Q13" s="448"/>
      <c r="R13" s="448"/>
    </row>
    <row r="14" spans="2:25" ht="3" customHeight="1">
      <c r="B14" s="56"/>
      <c r="C14" s="706"/>
      <c r="D14" s="706"/>
      <c r="E14" s="448"/>
      <c r="F14" s="448"/>
      <c r="G14" s="448"/>
      <c r="H14" s="448"/>
      <c r="I14" s="448"/>
      <c r="J14" s="448"/>
      <c r="K14" s="448"/>
      <c r="L14" s="448"/>
      <c r="M14" s="448"/>
      <c r="N14" s="448"/>
      <c r="O14" s="448"/>
      <c r="P14" s="448"/>
      <c r="Q14" s="448"/>
      <c r="R14" s="448"/>
    </row>
    <row r="15" spans="2:25" ht="3" customHeight="1">
      <c r="B15" s="56"/>
      <c r="C15" s="706"/>
      <c r="D15" s="706"/>
      <c r="E15" s="448"/>
      <c r="F15" s="448"/>
      <c r="G15" s="448"/>
      <c r="H15" s="448"/>
      <c r="I15" s="448"/>
      <c r="J15" s="448"/>
      <c r="K15" s="448"/>
      <c r="L15" s="448"/>
      <c r="M15" s="448"/>
      <c r="N15" s="448"/>
      <c r="O15" s="448"/>
      <c r="P15" s="448"/>
      <c r="Q15" s="448"/>
      <c r="R15" s="448"/>
    </row>
    <row r="16" spans="2:25" ht="15.75" customHeight="1">
      <c r="B16" s="40"/>
      <c r="D16" s="1767" t="str">
        <f>IF(F16="","Input Project Name:","Project Name:")</f>
        <v>Input Project Name:</v>
      </c>
      <c r="E16" s="1768"/>
      <c r="F16" s="1779"/>
      <c r="G16" s="1780"/>
      <c r="H16" s="1780"/>
      <c r="I16" s="1780"/>
      <c r="J16" s="1780"/>
      <c r="K16" s="1780"/>
      <c r="L16" s="1780"/>
      <c r="M16" s="1780"/>
      <c r="N16" s="1781"/>
    </row>
    <row r="17" spans="1:28" ht="3" customHeight="1">
      <c r="B17" s="40"/>
      <c r="C17"/>
      <c r="D17"/>
      <c r="E17"/>
      <c r="F17" s="475"/>
      <c r="G17" s="475"/>
      <c r="H17" s="475"/>
      <c r="I17" s="475"/>
      <c r="J17" s="475"/>
      <c r="K17" s="475"/>
      <c r="L17" s="475"/>
      <c r="M17" s="475"/>
      <c r="N17" s="475"/>
      <c r="O17" s="475"/>
      <c r="P17" s="475"/>
      <c r="Q17" s="475"/>
      <c r="R17"/>
    </row>
    <row r="18" spans="1:28" ht="15.75" customHeight="1">
      <c r="B18" s="40"/>
      <c r="C18" s="1767" t="str">
        <f>IF(F18="","Input AHP Application #:","AHP Application #:")</f>
        <v>Input AHP Application #:</v>
      </c>
      <c r="D18" s="1767"/>
      <c r="E18" s="1768"/>
      <c r="F18" s="1785"/>
      <c r="G18" s="1786"/>
      <c r="H18" s="1306"/>
      <c r="I18" s="956"/>
      <c r="J18" s="956"/>
      <c r="K18" s="956"/>
      <c r="L18" s="172"/>
      <c r="M18" s="1306"/>
      <c r="N18" s="1306"/>
      <c r="O18" s="1306"/>
      <c r="P18" s="956"/>
      <c r="Q18" s="956"/>
      <c r="R18" s="956"/>
    </row>
    <row r="19" spans="1:28" ht="3" customHeight="1">
      <c r="B19" s="40"/>
      <c r="D19" s="6"/>
      <c r="E19" s="6"/>
      <c r="F19" s="476"/>
      <c r="G19" s="476"/>
      <c r="H19" s="41"/>
      <c r="I19" s="41"/>
      <c r="J19" s="41"/>
      <c r="K19" s="41"/>
      <c r="L19" s="41"/>
      <c r="M19" s="956"/>
      <c r="N19" s="956"/>
      <c r="O19" s="956"/>
      <c r="P19" s="1307"/>
      <c r="Q19" s="1307"/>
      <c r="R19" s="1308"/>
    </row>
    <row r="20" spans="1:28" ht="15.75" customHeight="1">
      <c r="B20" s="40"/>
      <c r="D20" s="1767" t="str">
        <f>IF(F20="Select Project Type","Select Project Type:","Project Type:")</f>
        <v>Project Type:</v>
      </c>
      <c r="E20" s="1767"/>
      <c r="F20" s="1783" t="s">
        <v>674</v>
      </c>
      <c r="G20" s="1784"/>
      <c r="H20" s="1772" t="s">
        <v>888</v>
      </c>
      <c r="I20" s="1772"/>
      <c r="J20" s="1775"/>
      <c r="K20" s="1787" t="s">
        <v>886</v>
      </c>
      <c r="L20" s="1788"/>
      <c r="M20" s="1789"/>
      <c r="N20" s="1790" t="s">
        <v>885</v>
      </c>
      <c r="O20" s="1791"/>
      <c r="P20" s="1791"/>
      <c r="Q20" s="1791"/>
      <c r="R20" s="1309" t="s">
        <v>720</v>
      </c>
    </row>
    <row r="21" spans="1:28" ht="3" customHeight="1">
      <c r="B21" s="40"/>
      <c r="C21"/>
      <c r="D21"/>
      <c r="E21"/>
      <c r="F21" s="475"/>
      <c r="G21" s="475"/>
      <c r="H21" s="76"/>
      <c r="I21" s="76"/>
      <c r="J21" s="76"/>
      <c r="K21" s="76"/>
      <c r="L21" s="76"/>
      <c r="M21" s="76"/>
      <c r="N21" s="76"/>
      <c r="O21" s="76"/>
      <c r="P21" s="76"/>
      <c r="Q21" s="76"/>
      <c r="R21" s="15"/>
    </row>
    <row r="22" spans="1:28" ht="15.75" customHeight="1">
      <c r="B22" s="40"/>
      <c r="D22" s="1767" t="s">
        <v>887</v>
      </c>
      <c r="E22" s="1767"/>
      <c r="F22" s="1769" t="s">
        <v>886</v>
      </c>
      <c r="G22" s="1770"/>
      <c r="H22" s="1771" t="s">
        <v>885</v>
      </c>
      <c r="I22" s="1772"/>
      <c r="J22" s="1772"/>
      <c r="K22" s="1772"/>
      <c r="L22" s="1772"/>
      <c r="M22" s="1777" t="s">
        <v>720</v>
      </c>
      <c r="N22" s="1778"/>
      <c r="O22" s="1776" t="s">
        <v>956</v>
      </c>
      <c r="P22" s="1776"/>
      <c r="Q22" s="1782" t="s">
        <v>114</v>
      </c>
      <c r="R22" s="1782"/>
      <c r="U22" s="1">
        <f>IF(OR(M22="Rehabilitation",M22="Acquisition"),1,0)</f>
        <v>0</v>
      </c>
    </row>
    <row r="23" spans="1:28" ht="5.25" customHeight="1">
      <c r="B23" s="40"/>
      <c r="C23" s="40"/>
      <c r="D23" s="472"/>
      <c r="E23" s="472"/>
      <c r="F23" s="472"/>
      <c r="G23" s="472"/>
      <c r="H23" s="40"/>
      <c r="I23" s="40"/>
      <c r="J23" s="172"/>
      <c r="K23" s="172"/>
      <c r="L23" s="172"/>
      <c r="M23" s="473"/>
      <c r="N23" s="473"/>
      <c r="O23" s="473"/>
      <c r="P23" s="101"/>
      <c r="Q23" s="472"/>
      <c r="R23" s="472"/>
    </row>
    <row r="24" spans="1:28" ht="7.5" customHeight="1">
      <c r="B24" s="40"/>
      <c r="C24" s="40"/>
      <c r="D24" s="167"/>
      <c r="E24" s="167"/>
      <c r="F24" s="167"/>
      <c r="G24" s="167"/>
      <c r="H24" s="167"/>
      <c r="I24" s="167"/>
    </row>
    <row r="25" spans="1:28" ht="24" customHeight="1">
      <c r="D25" s="1744" t="str">
        <f>IF(F20&lt;&gt;"Select Project Type","Required Worksheets for this Project:","")</f>
        <v>Required Worksheets for this Project:</v>
      </c>
      <c r="E25" s="1744"/>
      <c r="F25" s="1744"/>
      <c r="G25" s="1744"/>
    </row>
    <row r="26" spans="1:28" customFormat="1" ht="3.75" customHeight="1">
      <c r="A26" s="47"/>
      <c r="C26" s="1"/>
      <c r="D26" s="835"/>
      <c r="E26" s="836"/>
      <c r="F26" s="836"/>
      <c r="G26" s="836"/>
      <c r="H26" s="836"/>
      <c r="I26" s="836"/>
      <c r="J26" s="836"/>
      <c r="K26" s="836"/>
      <c r="L26" s="836"/>
      <c r="M26" s="836"/>
      <c r="N26" s="836"/>
      <c r="O26" s="836"/>
      <c r="P26" s="836"/>
      <c r="Q26" s="836"/>
      <c r="R26" s="837"/>
      <c r="U26" s="1"/>
      <c r="V26" s="1"/>
      <c r="W26" s="1"/>
      <c r="X26" s="1"/>
      <c r="Y26" s="1"/>
      <c r="Z26" s="1"/>
      <c r="AA26" s="1"/>
      <c r="AB26" s="1"/>
    </row>
    <row r="27" spans="1:28" ht="15.75" customHeight="1">
      <c r="D27" s="1754" t="s">
        <v>816</v>
      </c>
      <c r="E27" s="1755"/>
      <c r="F27" s="1755"/>
      <c r="G27" s="1755" t="s">
        <v>790</v>
      </c>
      <c r="H27" s="1755"/>
      <c r="I27" s="1755"/>
      <c r="J27" s="1741" t="str">
        <f>IF(V50=1,"Rent Schedule",IF(V50=2,"Rent Schedule",IF(V50=3,"Rent Schedule",IF(V50=4,"Rent Schedule",IF(V50=5,"Rent Schedule",IF(V50=6,"Rent Schedule",IF(V50=7,"Owner-occupied Housing Expense",IF(V50=8,"Owner-occupied Housing Expense",""))))))))</f>
        <v>Rent Schedule</v>
      </c>
      <c r="K27" s="1741"/>
      <c r="L27" s="1741"/>
      <c r="M27" s="1741"/>
      <c r="N27" s="1741"/>
      <c r="O27" s="1742" t="str">
        <f>IF(V50=1,"Rental Operating ProForma",IF(V50=2,"Rental Operating ProForma",IF(V50=3,"Rental Operating ProForma",IF(V50=4,"Rental Operating ProForma",IF(V50=5,"Rental Operating ProForma",IF(V50=6,"Rental Operating ProForma",IF(V50=7,"Feasibility Analysis",IF(V50=8,"Feasibility Analysis",""))))))))</f>
        <v>Rental Operating ProForma</v>
      </c>
      <c r="P27" s="1742"/>
      <c r="Q27" s="1742"/>
      <c r="R27" s="1743"/>
    </row>
    <row r="28" spans="1:28" ht="4.5" customHeight="1">
      <c r="D28" s="838"/>
      <c r="E28" s="842"/>
      <c r="F28" s="707"/>
      <c r="G28" s="843"/>
      <c r="H28" s="843"/>
      <c r="I28" s="843"/>
      <c r="J28" s="844"/>
      <c r="K28" s="844"/>
      <c r="L28" s="844"/>
      <c r="M28" s="707"/>
      <c r="N28" s="845"/>
      <c r="O28" s="846"/>
      <c r="P28" s="846"/>
      <c r="Q28" s="846"/>
      <c r="R28" s="847"/>
    </row>
    <row r="29" spans="1:28" ht="15.75" customHeight="1">
      <c r="D29" s="1756" t="str">
        <f>IF(F22&lt;&gt;"Yes",X1,Y1)</f>
        <v>Feasibility Analysis</v>
      </c>
      <c r="E29" s="1742"/>
      <c r="F29" s="1742"/>
      <c r="G29" s="1741" t="str">
        <f>IF(F22&lt;&gt;"Yes",X2,Y2)</f>
        <v>Sources and Uses Analysis</v>
      </c>
      <c r="H29" s="1741"/>
      <c r="I29" s="1741"/>
      <c r="J29" s="1741" t="str">
        <f>IF(F22&lt;&gt;"Yes",X3,Y3)</f>
        <v>Tenant Income Verification (TIV)</v>
      </c>
      <c r="K29" s="1741"/>
      <c r="L29" s="1741"/>
      <c r="M29" s="1741"/>
      <c r="N29" s="1741"/>
      <c r="O29" s="1741" t="str">
        <f>IF(F22&lt;&gt;"Yes","",Y4)</f>
        <v/>
      </c>
      <c r="P29" s="1741"/>
      <c r="Q29" s="1741"/>
      <c r="R29" s="1753"/>
    </row>
    <row r="30" spans="1:28" ht="4.5" customHeight="1">
      <c r="B30"/>
      <c r="D30" s="839"/>
      <c r="E30" s="840"/>
      <c r="F30" s="840"/>
      <c r="G30" s="840"/>
      <c r="H30" s="840"/>
      <c r="I30" s="840"/>
      <c r="J30" s="840"/>
      <c r="K30" s="840"/>
      <c r="L30" s="840"/>
      <c r="M30" s="840"/>
      <c r="N30" s="840"/>
      <c r="O30" s="840"/>
      <c r="P30" s="840"/>
      <c r="Q30" s="840"/>
      <c r="R30" s="841"/>
    </row>
    <row r="31" spans="1:28" ht="9" customHeight="1"/>
    <row r="32" spans="1:28" ht="9" customHeight="1">
      <c r="A32" s="798"/>
      <c r="B32" s="798"/>
      <c r="C32" s="798"/>
      <c r="D32" s="798"/>
      <c r="E32" s="798"/>
      <c r="F32" s="798"/>
      <c r="G32" s="798"/>
      <c r="H32" s="798"/>
      <c r="I32" s="798"/>
      <c r="J32" s="798"/>
      <c r="K32" s="798"/>
      <c r="L32" s="798"/>
      <c r="M32" s="798"/>
      <c r="N32" s="798"/>
      <c r="O32" s="798"/>
      <c r="P32" s="798"/>
      <c r="Q32" s="798"/>
      <c r="R32" s="798"/>
      <c r="Z32" s="1" t="str">
        <f>IF(AND(F20="Owner-occupied",R20&lt;&gt;"Select One…"),R20,IF(AND(F20="Rental",M22&lt;&gt;"Select One…"),M22," "))</f>
        <v xml:space="preserve"> </v>
      </c>
    </row>
    <row r="33" spans="1:28" ht="6" customHeight="1">
      <c r="A33" s="798"/>
      <c r="B33" s="798"/>
      <c r="G33" s="798"/>
      <c r="H33" s="798"/>
      <c r="I33" s="798"/>
      <c r="J33" s="798"/>
      <c r="K33" s="798"/>
      <c r="L33" s="798"/>
      <c r="M33" s="798"/>
      <c r="N33" s="798"/>
      <c r="O33" s="798"/>
      <c r="P33" s="798"/>
      <c r="Q33" s="798"/>
      <c r="R33" s="798"/>
      <c r="U33" s="1" t="s">
        <v>675</v>
      </c>
      <c r="W33" s="1">
        <f>COUNTIF(F16,"="&amp;"")</f>
        <v>1</v>
      </c>
    </row>
    <row r="34" spans="1:28" ht="18.75">
      <c r="C34" s="1737" t="s">
        <v>996</v>
      </c>
      <c r="D34" s="1737"/>
      <c r="E34" s="1737"/>
      <c r="F34" s="1737"/>
      <c r="G34" s="158"/>
      <c r="H34" s="68"/>
      <c r="I34" s="68"/>
      <c r="J34" s="68"/>
      <c r="K34" s="68"/>
      <c r="L34" s="68"/>
      <c r="M34" s="68"/>
      <c r="N34" s="68"/>
      <c r="O34" s="68"/>
      <c r="P34" s="68"/>
      <c r="Q34" s="68"/>
      <c r="R34" s="68"/>
      <c r="U34" s="1" t="s">
        <v>674</v>
      </c>
      <c r="W34" s="1">
        <f>COUNTIF(F18,"="&amp;"")</f>
        <v>1</v>
      </c>
    </row>
    <row r="35" spans="1:28" ht="3" customHeight="1">
      <c r="B35" s="874"/>
      <c r="G35" s="873"/>
      <c r="H35" s="68"/>
      <c r="I35" s="68"/>
      <c r="J35" s="68"/>
      <c r="K35" s="68"/>
      <c r="L35" s="68"/>
      <c r="M35" s="68"/>
      <c r="N35" s="68"/>
      <c r="O35" s="68"/>
      <c r="P35" s="68"/>
      <c r="Q35" s="68"/>
      <c r="R35" s="68"/>
      <c r="U35" s="1" t="s">
        <v>676</v>
      </c>
      <c r="W35" s="1">
        <f>SUM(W33:W34)</f>
        <v>2</v>
      </c>
    </row>
    <row r="36" spans="1:28" ht="18.75">
      <c r="B36" s="4"/>
      <c r="D36" s="1740" t="s">
        <v>856</v>
      </c>
      <c r="E36" s="1740"/>
      <c r="F36" s="1740"/>
    </row>
    <row r="37" spans="1:28" s="5" customFormat="1" ht="17.25" customHeight="1">
      <c r="A37" s="1"/>
      <c r="B37" s="4"/>
      <c r="C37" s="1735" t="s">
        <v>857</v>
      </c>
      <c r="D37" s="1735"/>
      <c r="E37" s="1735"/>
      <c r="F37" s="1735"/>
      <c r="G37" s="1735"/>
      <c r="H37" s="1735"/>
      <c r="I37" s="1735"/>
      <c r="J37" s="1735"/>
      <c r="K37" s="1735"/>
      <c r="L37" s="1735"/>
      <c r="M37" s="1735"/>
      <c r="N37" s="1735"/>
      <c r="O37" s="1735"/>
      <c r="P37" s="1735"/>
      <c r="Q37" s="1735"/>
      <c r="R37" s="1735"/>
      <c r="U37" s="796" t="s">
        <v>720</v>
      </c>
      <c r="V37" s="475"/>
      <c r="W37" s="475"/>
      <c r="X37" s="475"/>
      <c r="Y37" s="475"/>
      <c r="Z37" s="475"/>
      <c r="AA37" s="475"/>
      <c r="AB37" s="475"/>
    </row>
    <row r="38" spans="1:28" s="5" customFormat="1" ht="7.5" customHeight="1">
      <c r="A38" s="1"/>
      <c r="B38" s="4"/>
      <c r="C38" s="451"/>
      <c r="D38" s="1757"/>
      <c r="E38" s="1757"/>
      <c r="F38" s="1757"/>
      <c r="G38" s="1757"/>
      <c r="H38" s="1757"/>
      <c r="I38" s="1757"/>
      <c r="J38" s="1757"/>
      <c r="K38" s="1757"/>
      <c r="L38" s="1757"/>
      <c r="M38" s="1757"/>
      <c r="N38" s="1757"/>
      <c r="O38" s="1757"/>
      <c r="P38" s="1757"/>
      <c r="Q38" s="1757"/>
      <c r="R38" s="1757"/>
      <c r="U38" s="5" t="s">
        <v>25</v>
      </c>
    </row>
    <row r="39" spans="1:28" s="5" customFormat="1" ht="19.5" thickBot="1">
      <c r="B39" s="1733"/>
      <c r="C39" s="798"/>
      <c r="D39" s="1744" t="s">
        <v>789</v>
      </c>
      <c r="E39" s="1744"/>
      <c r="F39" s="1744"/>
      <c r="G39" s="798"/>
      <c r="H39" s="798"/>
      <c r="I39" s="798"/>
      <c r="J39" s="448"/>
      <c r="K39" s="448"/>
      <c r="L39" s="448"/>
      <c r="M39" s="448"/>
      <c r="N39" s="448"/>
      <c r="O39" s="448"/>
      <c r="P39" s="448"/>
      <c r="Q39" s="448"/>
      <c r="R39" s="448"/>
      <c r="U39" s="5" t="s">
        <v>874</v>
      </c>
    </row>
    <row r="40" spans="1:28" s="5" customFormat="1" ht="1.5" customHeight="1" thickBot="1">
      <c r="B40" s="1734"/>
      <c r="C40" s="1735" t="s">
        <v>967</v>
      </c>
      <c r="D40" s="1735"/>
      <c r="E40" s="1735"/>
      <c r="F40" s="1735"/>
      <c r="G40" s="1735"/>
      <c r="H40" s="1735"/>
      <c r="I40" s="859"/>
      <c r="J40" s="859"/>
      <c r="K40" s="859"/>
      <c r="L40" s="859"/>
      <c r="M40" s="859"/>
      <c r="N40" s="859"/>
      <c r="O40" s="859"/>
      <c r="P40" s="859"/>
      <c r="Q40" s="859"/>
      <c r="R40" s="859"/>
      <c r="U40" s="5" t="s">
        <v>726</v>
      </c>
    </row>
    <row r="41" spans="1:28" ht="12.75" thickBot="1">
      <c r="A41" s="5"/>
      <c r="B41" s="1734"/>
      <c r="C41" s="1735"/>
      <c r="D41" s="1735"/>
      <c r="E41" s="1735"/>
      <c r="F41" s="1735"/>
      <c r="G41" s="1735"/>
      <c r="H41" s="1735"/>
      <c r="I41" s="856"/>
      <c r="J41" s="857"/>
      <c r="K41" s="858"/>
      <c r="L41" s="857"/>
      <c r="M41" s="858"/>
      <c r="N41" s="858"/>
      <c r="O41" s="858"/>
      <c r="P41" s="858"/>
      <c r="Q41" s="858"/>
      <c r="R41" s="858"/>
      <c r="U41" s="5"/>
    </row>
    <row r="42" spans="1:28" ht="2.25" customHeight="1" thickBot="1">
      <c r="A42" s="5"/>
      <c r="B42" s="875"/>
      <c r="C42" s="1758"/>
      <c r="D42" s="1758"/>
      <c r="E42" s="1758"/>
      <c r="F42" s="1758"/>
      <c r="G42" s="1758"/>
      <c r="H42" s="1758"/>
      <c r="I42" s="860"/>
      <c r="J42" s="860"/>
      <c r="K42" s="860"/>
      <c r="L42" s="861"/>
      <c r="M42" s="860"/>
      <c r="N42" s="860"/>
      <c r="O42" s="860"/>
      <c r="P42" s="860"/>
      <c r="Q42" s="860"/>
      <c r="R42" s="860"/>
      <c r="AB42" s="424"/>
    </row>
    <row r="43" spans="1:28" ht="17.25" customHeight="1">
      <c r="B43" s="4"/>
      <c r="C43" s="1759" t="s">
        <v>904</v>
      </c>
      <c r="D43" s="1759"/>
      <c r="E43" s="1759"/>
      <c r="F43" s="1759"/>
      <c r="G43" s="1759"/>
      <c r="H43" s="1759"/>
      <c r="I43" s="1759"/>
      <c r="J43" s="1759"/>
      <c r="K43" s="1759"/>
      <c r="L43" s="1759"/>
      <c r="M43" s="1759"/>
      <c r="N43" s="1759"/>
      <c r="O43" s="1759"/>
      <c r="P43" s="1759"/>
      <c r="Q43" s="1759"/>
      <c r="R43" s="1759"/>
    </row>
    <row r="44" spans="1:28" ht="6.75" customHeight="1">
      <c r="B44" s="4"/>
      <c r="C44" s="862"/>
      <c r="D44" s="1760"/>
      <c r="E44" s="1760"/>
      <c r="F44" s="1760"/>
      <c r="G44" s="1760"/>
      <c r="H44" s="1760"/>
      <c r="I44" s="1760"/>
      <c r="J44" s="1760"/>
      <c r="K44" s="1760"/>
      <c r="L44" s="1760"/>
      <c r="M44" s="1760"/>
      <c r="N44" s="1760"/>
      <c r="O44" s="1760"/>
      <c r="P44" s="1760"/>
      <c r="Q44" s="1760"/>
      <c r="R44" s="1760"/>
      <c r="W44" s="1">
        <f>IF(F20="Rental",1,0)</f>
        <v>1</v>
      </c>
      <c r="X44" s="1">
        <f>IF(F22="Yes",1,0)</f>
        <v>0</v>
      </c>
      <c r="Y44" s="1">
        <f>SUM(W44:X44)</f>
        <v>1</v>
      </c>
    </row>
    <row r="45" spans="1:28" ht="19.5" thickBot="1">
      <c r="B45" s="876"/>
      <c r="C45" s="798"/>
      <c r="D45" s="1744" t="s">
        <v>816</v>
      </c>
      <c r="E45" s="1744"/>
      <c r="F45" s="1744"/>
      <c r="G45" s="1744"/>
      <c r="H45" s="834"/>
      <c r="I45" s="68"/>
      <c r="J45" s="68"/>
      <c r="K45" s="68"/>
      <c r="L45" s="68"/>
      <c r="M45" s="68"/>
      <c r="N45" s="68"/>
      <c r="O45" s="68"/>
      <c r="P45" s="68"/>
      <c r="Q45" s="68"/>
      <c r="R45" s="68"/>
      <c r="W45" s="1">
        <f>IF(F20="Rental",1,0)</f>
        <v>1</v>
      </c>
      <c r="X45" s="1">
        <v>1</v>
      </c>
      <c r="Y45" s="1">
        <f>IF(Q22="Yes",1,0)</f>
        <v>1</v>
      </c>
      <c r="Z45" s="1">
        <f>SUM(W45:Y45)</f>
        <v>3</v>
      </c>
    </row>
    <row r="46" spans="1:28" s="799" customFormat="1" ht="63" customHeight="1" thickBot="1">
      <c r="B46" s="877"/>
      <c r="C46" s="1736" t="s">
        <v>1156</v>
      </c>
      <c r="D46" s="1701"/>
      <c r="E46" s="1701"/>
      <c r="F46" s="1701"/>
      <c r="G46" s="1701"/>
      <c r="H46" s="1701"/>
      <c r="I46" s="1701"/>
      <c r="J46" s="1701"/>
      <c r="K46" s="1701"/>
      <c r="L46" s="1701"/>
      <c r="M46" s="1701"/>
      <c r="N46" s="1701"/>
      <c r="O46" s="1701"/>
      <c r="P46" s="1701"/>
      <c r="Q46" s="1701"/>
      <c r="R46" s="1701"/>
      <c r="U46" s="799" t="s">
        <v>886</v>
      </c>
    </row>
    <row r="47" spans="1:28" s="799" customFormat="1" ht="16.5" customHeight="1" thickBot="1">
      <c r="B47" s="877"/>
      <c r="C47" s="1690" t="s">
        <v>985</v>
      </c>
      <c r="D47" s="1691"/>
      <c r="E47" s="1691"/>
      <c r="F47" s="1691"/>
      <c r="G47" s="1691"/>
      <c r="H47" s="1691"/>
      <c r="I47" s="1691"/>
      <c r="J47" s="1691"/>
      <c r="K47" s="1691"/>
      <c r="L47" s="1691"/>
      <c r="M47" s="1691"/>
      <c r="N47" s="1691"/>
      <c r="O47" s="1691"/>
      <c r="P47" s="1691"/>
      <c r="Q47" s="1691"/>
      <c r="R47" s="1691"/>
      <c r="U47" s="799" t="s">
        <v>114</v>
      </c>
      <c r="V47" s="5"/>
      <c r="W47" s="5"/>
      <c r="X47" s="5"/>
      <c r="Y47" s="5"/>
      <c r="Z47" s="5"/>
      <c r="AA47" s="5"/>
    </row>
    <row r="48" spans="1:28" s="799" customFormat="1" ht="45" customHeight="1" thickBot="1">
      <c r="B48" s="877"/>
      <c r="C48" s="1690" t="s">
        <v>1125</v>
      </c>
      <c r="D48" s="1691"/>
      <c r="E48" s="1691"/>
      <c r="F48" s="1691"/>
      <c r="G48" s="1691"/>
      <c r="H48" s="1691"/>
      <c r="I48" s="1691"/>
      <c r="J48" s="1691"/>
      <c r="K48" s="1691"/>
      <c r="L48" s="1691"/>
      <c r="M48" s="1691"/>
      <c r="N48" s="1691"/>
      <c r="O48" s="1691"/>
      <c r="P48" s="1691"/>
      <c r="Q48" s="1691"/>
      <c r="R48" s="1691"/>
      <c r="U48" s="799" t="s">
        <v>115</v>
      </c>
      <c r="V48" s="5"/>
      <c r="W48" s="5"/>
      <c r="X48" s="5">
        <f>IF(AND(F20="Rental",M22="Rehabilitation"),1,IF(AND(F20="Rental",M22="Acquisition"),1,0))</f>
        <v>0</v>
      </c>
      <c r="Y48" s="5"/>
      <c r="Z48" s="5"/>
      <c r="AA48" s="5"/>
    </row>
    <row r="49" spans="2:27" s="799" customFormat="1" ht="16.5" customHeight="1" thickBot="1">
      <c r="B49" s="878"/>
      <c r="C49" s="1690" t="s">
        <v>986</v>
      </c>
      <c r="D49" s="1691"/>
      <c r="E49" s="1691"/>
      <c r="F49" s="1691"/>
      <c r="G49" s="1691"/>
      <c r="H49" s="1691"/>
      <c r="I49" s="1691"/>
      <c r="J49" s="1691"/>
      <c r="K49" s="1691"/>
      <c r="L49" s="1691"/>
      <c r="M49" s="1691"/>
      <c r="N49" s="1691"/>
      <c r="O49" s="1691"/>
      <c r="P49" s="1691"/>
      <c r="Q49" s="1691"/>
      <c r="R49" s="1691"/>
      <c r="V49" s="1"/>
      <c r="W49" s="1"/>
      <c r="X49" s="1"/>
      <c r="Y49" s="1"/>
      <c r="Z49" s="1"/>
      <c r="AA49" s="1"/>
    </row>
    <row r="50" spans="2:27" s="799" customFormat="1" ht="16.5" customHeight="1" thickBot="1">
      <c r="B50" s="878"/>
      <c r="C50" s="1690" t="s">
        <v>987</v>
      </c>
      <c r="D50" s="1691"/>
      <c r="E50" s="1691"/>
      <c r="F50" s="1691"/>
      <c r="G50" s="1691"/>
      <c r="H50" s="1691"/>
      <c r="I50" s="1691"/>
      <c r="J50" s="1691"/>
      <c r="K50" s="1691"/>
      <c r="L50" s="1691"/>
      <c r="M50" s="1691"/>
      <c r="N50" s="1691"/>
      <c r="O50" s="1691"/>
      <c r="P50" s="1691"/>
      <c r="Q50" s="1691"/>
      <c r="R50" s="1691"/>
      <c r="V50" s="425">
        <f>IF(AND(F20="Rental",F22&lt;&gt;"Yes",M22&lt;&gt;"Rehabilitation",M22&lt;&gt;"Acquisition"),1,IF(AND(F20="Rental",F22&lt;&gt;"Yes",Q22&lt;&gt;"Yes"),2,IF(AND(F20="Rental",F22="Yes",M22&lt;&gt;"Rehabilitation",M22&lt;&gt;"Acquisition"),3,IF(AND(F20="Rental",F22="Yes",Q22&lt;&gt;"Yes"),4,IF(AND(F20="Owner-occupied",K20&lt;&gt;"Yes"),7,IF(AND(F20="Owner-occupied",K20="Yes"),8,IF(AND(F20="Rental",F22&lt;&gt;"Yes",Q22="Yes"),5,IF(AND(F20="Rental",F22="Yes",Q22="Yes"),6,0))))))))</f>
        <v>1</v>
      </c>
      <c r="W50" s="426">
        <f>IF(AND(F20="Rental",F22="Select 'Yes' or 'No'"),1,0)</f>
        <v>1</v>
      </c>
      <c r="X50" s="425">
        <f>IF(AND(F20="Rental",M22="Select One…"),1,0)</f>
        <v>1</v>
      </c>
      <c r="Y50" s="426">
        <f>IF(AND(F20="Rental",M22="Rehabilitation",Q22="Select 'Yes' or 'No'"),1,IF(AND(F20="Rental",M22="Acquisition",Q22="Select 'Yes' or 'No'"),1,0))</f>
        <v>0</v>
      </c>
      <c r="Z50" s="426">
        <f>IF(AND(F20="Owner-occupied",K20="Select 'Yes' or 'No'"),1,0)</f>
        <v>0</v>
      </c>
      <c r="AA50" s="424">
        <f>IF(AND(F20="Owner-occupied",R20="Select One…"),1,0)</f>
        <v>0</v>
      </c>
    </row>
    <row r="51" spans="2:27" s="799" customFormat="1" ht="16.5" customHeight="1">
      <c r="B51" s="879"/>
      <c r="C51" s="1696" t="s">
        <v>1022</v>
      </c>
      <c r="D51" s="1686"/>
      <c r="E51" s="1686"/>
      <c r="F51" s="1686"/>
      <c r="G51" s="1686"/>
      <c r="H51" s="1686"/>
      <c r="I51" s="1686"/>
      <c r="J51" s="1686"/>
      <c r="K51" s="1686"/>
      <c r="L51" s="1686"/>
      <c r="M51" s="1686"/>
      <c r="N51" s="1686"/>
      <c r="O51" s="1686"/>
      <c r="P51" s="1686"/>
      <c r="Q51" s="1686"/>
      <c r="R51" s="1686"/>
    </row>
    <row r="52" spans="2:27" s="799" customFormat="1" ht="16.5" customHeight="1">
      <c r="B52" s="879"/>
      <c r="C52" s="1738"/>
      <c r="D52" s="1739"/>
      <c r="E52" s="1739"/>
      <c r="F52" s="1686" t="s">
        <v>988</v>
      </c>
      <c r="G52" s="1686"/>
      <c r="H52" s="1686"/>
      <c r="I52" s="1686"/>
      <c r="J52" s="1686"/>
      <c r="K52" s="1686"/>
      <c r="L52" s="1686"/>
      <c r="M52" s="1686"/>
      <c r="N52" s="1686"/>
      <c r="O52" s="1686"/>
      <c r="P52" s="888"/>
      <c r="Q52" s="888"/>
      <c r="R52" s="888"/>
    </row>
    <row r="53" spans="2:27" s="799" customFormat="1" ht="16.5" customHeight="1">
      <c r="B53" s="879"/>
      <c r="C53" s="1738"/>
      <c r="D53" s="1739"/>
      <c r="E53" s="1739"/>
      <c r="F53" s="1686" t="s">
        <v>989</v>
      </c>
      <c r="G53" s="1686"/>
      <c r="H53" s="1686"/>
      <c r="I53" s="1686"/>
      <c r="J53" s="1686"/>
      <c r="K53" s="1686"/>
      <c r="L53" s="1686"/>
      <c r="M53" s="1686"/>
      <c r="N53" s="1686"/>
      <c r="O53" s="1686"/>
      <c r="P53" s="888"/>
      <c r="Q53" s="888"/>
      <c r="R53" s="888"/>
    </row>
    <row r="54" spans="2:27" s="799" customFormat="1" ht="16.5" customHeight="1" thickBot="1">
      <c r="B54" s="879"/>
      <c r="C54" s="1738"/>
      <c r="D54" s="1739"/>
      <c r="E54" s="1739"/>
      <c r="F54" s="1686" t="s">
        <v>1142</v>
      </c>
      <c r="G54" s="1686"/>
      <c r="H54" s="1686"/>
      <c r="I54" s="1686"/>
      <c r="J54" s="1686"/>
      <c r="K54" s="1686"/>
      <c r="L54" s="1686"/>
      <c r="M54" s="1686"/>
      <c r="N54" s="1686"/>
      <c r="O54" s="1686"/>
      <c r="P54" s="888"/>
      <c r="Q54" s="888"/>
      <c r="R54" s="888"/>
    </row>
    <row r="55" spans="2:27" s="799" customFormat="1" ht="16.5" customHeight="1" thickBot="1">
      <c r="B55" s="878"/>
      <c r="C55" s="1738"/>
      <c r="D55" s="1739"/>
      <c r="E55" s="1739"/>
      <c r="F55" s="1686" t="s">
        <v>990</v>
      </c>
      <c r="G55" s="1686"/>
      <c r="H55" s="1686"/>
      <c r="I55" s="1686"/>
      <c r="J55" s="1686"/>
      <c r="K55" s="1686"/>
      <c r="L55" s="1686"/>
      <c r="M55" s="1686"/>
      <c r="N55" s="1686"/>
      <c r="O55" s="1686"/>
      <c r="P55" s="888"/>
      <c r="Q55" s="888"/>
      <c r="R55" s="888"/>
    </row>
    <row r="56" spans="2:27" s="799" customFormat="1" ht="44.25" customHeight="1" thickBot="1">
      <c r="B56" s="878"/>
      <c r="C56" s="1698" t="s">
        <v>991</v>
      </c>
      <c r="D56" s="1747"/>
      <c r="E56" s="1747"/>
      <c r="F56" s="1747"/>
      <c r="G56" s="1747"/>
      <c r="H56" s="1747"/>
      <c r="I56" s="1747"/>
      <c r="J56" s="1747"/>
      <c r="K56" s="1747"/>
      <c r="L56" s="1747"/>
      <c r="M56" s="1747"/>
      <c r="N56" s="1747"/>
      <c r="O56" s="1747"/>
      <c r="P56" s="1747"/>
      <c r="Q56" s="1747"/>
      <c r="R56" s="1747"/>
    </row>
    <row r="57" spans="2:27" s="799" customFormat="1" ht="16.5" customHeight="1" thickBot="1">
      <c r="B57" s="878"/>
      <c r="C57" s="1745" t="s">
        <v>1020</v>
      </c>
      <c r="D57" s="1746"/>
      <c r="E57" s="1746"/>
      <c r="F57" s="1746"/>
      <c r="G57" s="1746"/>
      <c r="H57" s="1746"/>
      <c r="I57" s="1746"/>
      <c r="J57" s="1746"/>
      <c r="K57" s="1746"/>
      <c r="L57" s="1746"/>
      <c r="M57" s="1746"/>
      <c r="N57" s="1746"/>
      <c r="O57" s="1746"/>
      <c r="P57" s="1746"/>
      <c r="Q57" s="1746"/>
      <c r="R57" s="1746"/>
    </row>
    <row r="58" spans="2:27" s="799" customFormat="1" ht="16.5" customHeight="1" thickBot="1">
      <c r="B58" s="878"/>
      <c r="C58" s="1745" t="s">
        <v>1021</v>
      </c>
      <c r="D58" s="1746"/>
      <c r="E58" s="1746"/>
      <c r="F58" s="1746"/>
      <c r="G58" s="1746"/>
      <c r="H58" s="1746"/>
      <c r="I58" s="1746"/>
      <c r="J58" s="1746"/>
      <c r="K58" s="1746"/>
      <c r="L58" s="1746"/>
      <c r="M58" s="1746"/>
      <c r="N58" s="1746"/>
      <c r="O58" s="1746"/>
      <c r="P58" s="1746"/>
      <c r="Q58" s="1746"/>
      <c r="R58" s="1746"/>
    </row>
    <row r="59" spans="2:27" s="799" customFormat="1" ht="16.5" customHeight="1" thickBot="1">
      <c r="B59" s="878"/>
      <c r="C59" s="1745" t="s">
        <v>1023</v>
      </c>
      <c r="D59" s="1746"/>
      <c r="E59" s="1746"/>
      <c r="F59" s="1746"/>
      <c r="G59" s="1746"/>
      <c r="H59" s="1746"/>
      <c r="I59" s="1746"/>
      <c r="J59" s="1746"/>
      <c r="K59" s="1746"/>
      <c r="L59" s="1746"/>
      <c r="M59" s="1746"/>
      <c r="N59" s="1746"/>
      <c r="O59" s="1746"/>
      <c r="P59" s="1746"/>
      <c r="Q59" s="1746"/>
      <c r="R59" s="1746"/>
    </row>
    <row r="60" spans="2:27" s="799" customFormat="1" ht="27.75" customHeight="1" thickBot="1">
      <c r="B60" s="878"/>
      <c r="C60" s="1746" t="s">
        <v>992</v>
      </c>
      <c r="D60" s="1746"/>
      <c r="E60" s="1746"/>
      <c r="F60" s="1746"/>
      <c r="G60" s="1746"/>
      <c r="H60" s="1746"/>
      <c r="I60" s="1746"/>
      <c r="J60" s="1746"/>
      <c r="K60" s="1746"/>
      <c r="L60" s="1746"/>
      <c r="M60" s="1746"/>
      <c r="N60" s="1746"/>
      <c r="O60" s="1746"/>
      <c r="P60" s="1746"/>
      <c r="Q60" s="1746"/>
      <c r="R60" s="1746"/>
    </row>
    <row r="61" spans="2:27" s="799" customFormat="1" ht="49.5" customHeight="1" thickBot="1">
      <c r="B61" s="878"/>
      <c r="C61" s="1684" t="s">
        <v>1144</v>
      </c>
      <c r="D61" s="1684"/>
      <c r="E61" s="1684"/>
      <c r="F61" s="1684"/>
      <c r="G61" s="1684"/>
      <c r="H61" s="1684"/>
      <c r="I61" s="1684"/>
      <c r="J61" s="1684"/>
      <c r="K61" s="1684"/>
      <c r="L61" s="1684"/>
      <c r="M61" s="1684"/>
      <c r="N61" s="1684"/>
      <c r="O61" s="1684"/>
      <c r="P61" s="1684"/>
      <c r="Q61" s="1684"/>
      <c r="R61" s="1684"/>
    </row>
    <row r="62" spans="2:27" s="799" customFormat="1" ht="25.5" customHeight="1" thickBot="1">
      <c r="B62" s="878"/>
      <c r="C62" s="1684" t="s">
        <v>1145</v>
      </c>
      <c r="D62" s="1684"/>
      <c r="E62" s="1684"/>
      <c r="F62" s="1684"/>
      <c r="G62" s="1684"/>
      <c r="H62" s="1684"/>
      <c r="I62" s="1684"/>
      <c r="J62" s="1684"/>
      <c r="K62" s="1684"/>
      <c r="L62" s="1684"/>
      <c r="M62" s="1684"/>
      <c r="N62" s="1684"/>
      <c r="O62" s="1684"/>
      <c r="P62" s="1684"/>
      <c r="Q62" s="1684"/>
      <c r="R62" s="1684"/>
    </row>
    <row r="63" spans="2:27" s="799" customFormat="1" ht="16.5" customHeight="1" thickBot="1">
      <c r="B63" s="908"/>
      <c r="C63" s="1695" t="s">
        <v>1126</v>
      </c>
      <c r="D63" s="1695"/>
      <c r="E63" s="1695"/>
      <c r="F63" s="1695"/>
      <c r="G63" s="1695"/>
      <c r="H63" s="1695"/>
      <c r="I63" s="1695"/>
      <c r="J63" s="1695"/>
      <c r="K63" s="1695"/>
      <c r="L63" s="1695"/>
      <c r="M63" s="1695"/>
      <c r="N63" s="1695"/>
      <c r="O63" s="1695"/>
      <c r="P63" s="1695"/>
      <c r="Q63" s="1695"/>
      <c r="R63" s="1695"/>
    </row>
    <row r="64" spans="2:27" ht="15.75">
      <c r="B64" s="872"/>
      <c r="C64" s="1748" t="s">
        <v>859</v>
      </c>
      <c r="D64" s="1749"/>
      <c r="E64" s="1749"/>
      <c r="F64" s="1749"/>
      <c r="G64" s="889"/>
      <c r="H64" s="889"/>
      <c r="I64" s="889"/>
      <c r="J64" s="889"/>
      <c r="K64" s="889"/>
      <c r="L64" s="889"/>
      <c r="M64" s="889"/>
      <c r="N64" s="889"/>
      <c r="O64" s="889"/>
      <c r="P64" s="889"/>
      <c r="Q64" s="889"/>
      <c r="R64" s="889"/>
    </row>
    <row r="65" spans="1:21" s="798" customFormat="1" ht="16.5" customHeight="1">
      <c r="B65" s="4"/>
      <c r="C65" s="1750" t="s">
        <v>858</v>
      </c>
      <c r="D65" s="1751"/>
      <c r="E65" s="1751"/>
      <c r="F65" s="1751"/>
      <c r="G65" s="1751"/>
      <c r="H65" s="1751"/>
      <c r="I65" s="1751"/>
      <c r="J65" s="1751"/>
      <c r="K65" s="1751"/>
      <c r="L65" s="1751"/>
      <c r="M65" s="1751"/>
      <c r="N65" s="1751"/>
      <c r="O65" s="1751"/>
      <c r="P65" s="1751"/>
      <c r="Q65" s="1751"/>
      <c r="R65" s="1751"/>
    </row>
    <row r="66" spans="1:21" s="798" customFormat="1" ht="7.5" customHeight="1">
      <c r="A66" s="1"/>
      <c r="B66" s="4"/>
      <c r="I66" s="832"/>
      <c r="J66" s="832"/>
      <c r="K66" s="832"/>
      <c r="L66" s="832"/>
      <c r="M66" s="832"/>
      <c r="N66" s="832"/>
      <c r="O66" s="832"/>
      <c r="P66" s="832"/>
      <c r="Q66" s="832"/>
      <c r="R66" s="832"/>
    </row>
    <row r="67" spans="1:21" s="798" customFormat="1" ht="19.5" thickBot="1">
      <c r="B67" s="876"/>
      <c r="D67" s="1752" t="s">
        <v>790</v>
      </c>
      <c r="E67" s="1752"/>
      <c r="F67" s="1752"/>
      <c r="G67" s="1752"/>
      <c r="H67" s="1752"/>
      <c r="I67" s="1752"/>
      <c r="J67" s="68"/>
      <c r="K67" s="68"/>
      <c r="L67" s="68"/>
      <c r="M67" s="68"/>
      <c r="N67" s="68"/>
      <c r="O67" s="68"/>
      <c r="P67" s="68"/>
      <c r="Q67" s="68"/>
      <c r="R67" s="68"/>
    </row>
    <row r="68" spans="1:21" s="799" customFormat="1" ht="16.5" customHeight="1" thickBot="1">
      <c r="A68" s="798"/>
      <c r="B68" s="876"/>
      <c r="C68" s="1697" t="s">
        <v>968</v>
      </c>
      <c r="D68" s="1697"/>
      <c r="E68" s="1697"/>
      <c r="F68" s="1697"/>
      <c r="G68" s="1697"/>
      <c r="H68" s="1697"/>
      <c r="I68" s="1697"/>
      <c r="J68" s="1697"/>
      <c r="K68" s="1697"/>
      <c r="L68" s="1697"/>
      <c r="M68" s="1697"/>
      <c r="N68" s="1697"/>
      <c r="O68" s="1697"/>
      <c r="P68" s="1697"/>
      <c r="Q68" s="1697"/>
      <c r="R68" s="1697"/>
      <c r="S68" s="863"/>
    </row>
    <row r="69" spans="1:21" ht="16.5" customHeight="1" thickBot="1">
      <c r="A69" s="798"/>
      <c r="B69" s="876"/>
      <c r="C69" s="1695" t="s">
        <v>969</v>
      </c>
      <c r="D69" s="1695"/>
      <c r="E69" s="1695"/>
      <c r="F69" s="1695"/>
      <c r="G69" s="1695"/>
      <c r="H69" s="1695"/>
      <c r="I69" s="1695"/>
      <c r="J69" s="1695"/>
      <c r="K69" s="1695"/>
      <c r="L69" s="1695"/>
      <c r="M69" s="1695"/>
      <c r="N69" s="1695"/>
      <c r="O69" s="1695"/>
      <c r="P69" s="1695"/>
      <c r="Q69" s="1695"/>
      <c r="R69" s="1695"/>
      <c r="S69" s="68"/>
    </row>
    <row r="70" spans="1:21" ht="16.5" customHeight="1" thickBot="1">
      <c r="A70" s="799"/>
      <c r="B70" s="1717"/>
      <c r="C70" s="1695" t="s">
        <v>993</v>
      </c>
      <c r="D70" s="1695"/>
      <c r="E70" s="1695"/>
      <c r="F70" s="1695"/>
      <c r="G70" s="1695"/>
      <c r="H70" s="1695"/>
      <c r="I70" s="1695"/>
      <c r="J70" s="1695"/>
      <c r="K70" s="1695"/>
      <c r="L70" s="1695"/>
      <c r="M70" s="1695"/>
      <c r="N70" s="1695"/>
      <c r="O70" s="1695"/>
      <c r="P70" s="1695"/>
      <c r="Q70" s="1695"/>
      <c r="R70" s="1695"/>
      <c r="S70" s="801"/>
    </row>
    <row r="71" spans="1:21" s="799" customFormat="1" ht="16.5" customHeight="1" thickBot="1">
      <c r="A71" s="1"/>
      <c r="B71" s="1718"/>
      <c r="C71" s="1726" t="s">
        <v>718</v>
      </c>
      <c r="D71" s="1727"/>
      <c r="E71" s="1727"/>
      <c r="F71" s="1727"/>
      <c r="G71" s="890"/>
      <c r="H71" s="890"/>
      <c r="I71" s="890"/>
      <c r="J71" s="890"/>
      <c r="K71" s="890"/>
      <c r="L71" s="890"/>
      <c r="M71" s="890"/>
      <c r="N71" s="890"/>
      <c r="O71" s="890"/>
      <c r="P71" s="890"/>
      <c r="Q71" s="890"/>
      <c r="R71" s="890"/>
      <c r="S71" s="833"/>
    </row>
    <row r="72" spans="1:21" ht="12.75" thickBot="1">
      <c r="B72" s="1719"/>
      <c r="C72" s="1728" t="s">
        <v>1146</v>
      </c>
      <c r="D72" s="1687"/>
      <c r="E72" s="1687"/>
      <c r="F72" s="1687"/>
      <c r="G72" s="1687"/>
      <c r="H72" s="1687"/>
      <c r="I72" s="1687"/>
      <c r="J72" s="1687"/>
      <c r="K72" s="1687"/>
      <c r="L72" s="1687"/>
      <c r="M72" s="1687"/>
      <c r="N72" s="1687"/>
      <c r="O72" s="1687"/>
      <c r="P72" s="1687"/>
      <c r="Q72" s="1687"/>
      <c r="R72" s="1687"/>
      <c r="S72" s="802"/>
    </row>
    <row r="73" spans="1:21" ht="16.5" customHeight="1" thickBot="1">
      <c r="A73" s="799"/>
      <c r="B73" s="1720"/>
      <c r="C73" s="1763" t="s">
        <v>982</v>
      </c>
      <c r="D73" s="1764"/>
      <c r="E73" s="1764"/>
      <c r="F73" s="1764"/>
      <c r="G73" s="1286"/>
      <c r="H73" s="1286"/>
      <c r="I73" s="1286"/>
      <c r="J73" s="1287"/>
      <c r="K73" s="1287"/>
      <c r="L73" s="1287"/>
      <c r="M73" s="1287"/>
      <c r="N73" s="1287"/>
      <c r="O73" s="1287"/>
      <c r="P73" s="1287"/>
      <c r="Q73" s="1287"/>
      <c r="R73" s="1287"/>
      <c r="S73" s="802"/>
    </row>
    <row r="74" spans="1:21" ht="12.75" customHeight="1" thickBot="1">
      <c r="B74" s="1719"/>
      <c r="C74" s="1728" t="s">
        <v>1147</v>
      </c>
      <c r="D74" s="1687"/>
      <c r="E74" s="1687"/>
      <c r="F74" s="1687"/>
      <c r="G74" s="1687"/>
      <c r="H74" s="1687"/>
      <c r="I74" s="1687"/>
      <c r="J74" s="1687"/>
      <c r="K74" s="1687"/>
      <c r="L74" s="1687"/>
      <c r="M74" s="1687"/>
      <c r="N74" s="1687"/>
      <c r="O74" s="1687"/>
      <c r="P74" s="1687"/>
      <c r="Q74" s="1687"/>
      <c r="R74" s="1687"/>
    </row>
    <row r="75" spans="1:21" s="799" customFormat="1" ht="16.5" customHeight="1">
      <c r="A75" s="1"/>
      <c r="B75" s="1720"/>
      <c r="C75" s="1724" t="s">
        <v>719</v>
      </c>
      <c r="D75" s="1725"/>
      <c r="E75" s="1725"/>
      <c r="F75" s="1725"/>
      <c r="G75" s="891"/>
      <c r="H75" s="891"/>
      <c r="I75" s="891"/>
      <c r="J75" s="892"/>
      <c r="K75" s="892"/>
      <c r="L75" s="892"/>
      <c r="M75" s="892"/>
      <c r="N75" s="892"/>
      <c r="O75" s="892"/>
      <c r="P75" s="892"/>
      <c r="Q75" s="892"/>
      <c r="R75" s="892"/>
    </row>
    <row r="76" spans="1:21" s="798" customFormat="1" ht="16.5" customHeight="1" thickBot="1">
      <c r="A76" s="1"/>
      <c r="B76" s="1720"/>
      <c r="C76" s="1761" t="s">
        <v>905</v>
      </c>
      <c r="D76" s="1762"/>
      <c r="E76" s="1762"/>
      <c r="F76" s="1762"/>
      <c r="G76" s="1762"/>
      <c r="H76" s="1762"/>
      <c r="I76" s="1762"/>
      <c r="J76" s="1762"/>
      <c r="K76" s="1762"/>
      <c r="L76" s="1762"/>
      <c r="M76" s="1762"/>
      <c r="N76" s="1762"/>
      <c r="O76" s="1762"/>
      <c r="P76" s="1762"/>
      <c r="Q76" s="1762"/>
      <c r="R76" s="1762"/>
    </row>
    <row r="77" spans="1:21" customFormat="1" ht="16.5" customHeight="1" thickBot="1">
      <c r="A77" s="799"/>
      <c r="B77" s="887"/>
      <c r="C77" s="1699" t="s">
        <v>906</v>
      </c>
      <c r="D77" s="1700"/>
      <c r="E77" s="1700"/>
      <c r="F77" s="1700"/>
      <c r="G77" s="1700"/>
      <c r="H77" s="1700"/>
      <c r="I77" s="1700"/>
      <c r="J77" s="1700"/>
      <c r="K77" s="1700"/>
      <c r="L77" s="1700"/>
      <c r="M77" s="1700"/>
      <c r="N77" s="1700"/>
      <c r="O77" s="1700"/>
      <c r="P77" s="1700"/>
      <c r="Q77" s="1700"/>
      <c r="R77" s="1700"/>
    </row>
    <row r="78" spans="1:21" ht="17.25" customHeight="1" thickBot="1">
      <c r="A78" s="798"/>
      <c r="B78" s="869"/>
      <c r="C78" s="1698" t="s">
        <v>1140</v>
      </c>
      <c r="D78" s="1747"/>
      <c r="E78" s="1747"/>
      <c r="F78" s="1747"/>
      <c r="G78" s="1747"/>
      <c r="H78" s="1747"/>
      <c r="I78" s="1747"/>
      <c r="J78" s="1747"/>
      <c r="K78" s="1747"/>
      <c r="L78" s="1747"/>
      <c r="M78" s="1747"/>
      <c r="N78" s="1747"/>
      <c r="O78" s="1747"/>
      <c r="P78" s="1747"/>
      <c r="Q78" s="1747"/>
      <c r="R78" s="1747"/>
    </row>
    <row r="79" spans="1:21" customFormat="1" ht="28.5" customHeight="1">
      <c r="B79" s="870"/>
      <c r="C79" s="1698" t="s">
        <v>907</v>
      </c>
      <c r="D79" s="1747"/>
      <c r="E79" s="1747"/>
      <c r="F79" s="1747"/>
      <c r="G79" s="1747"/>
      <c r="H79" s="1747"/>
      <c r="I79" s="1747"/>
      <c r="J79" s="1747"/>
      <c r="K79" s="1747"/>
      <c r="L79" s="1747"/>
      <c r="M79" s="1747"/>
      <c r="N79" s="1747"/>
      <c r="O79" s="1747"/>
      <c r="P79" s="1747"/>
      <c r="Q79" s="1747"/>
      <c r="R79" s="1747"/>
      <c r="S79" s="1"/>
      <c r="U79" s="1"/>
    </row>
    <row r="80" spans="1:21" s="797" customFormat="1" ht="7.5" customHeight="1">
      <c r="A80" s="47"/>
      <c r="B80" s="870"/>
      <c r="C80" s="798"/>
      <c r="D80" s="798"/>
      <c r="E80" s="798"/>
      <c r="F80" s="798"/>
      <c r="G80" s="798"/>
      <c r="H80" s="798"/>
      <c r="I80" s="157"/>
      <c r="J80" s="157"/>
      <c r="K80" s="157"/>
      <c r="L80" s="157"/>
      <c r="M80" s="157"/>
      <c r="N80" s="157"/>
      <c r="O80" s="157"/>
      <c r="P80" s="157"/>
      <c r="Q80" s="157"/>
      <c r="R80" s="157"/>
      <c r="S80" s="798"/>
    </row>
    <row r="81" spans="1:19" s="797" customFormat="1" ht="18.75">
      <c r="B81" s="1704"/>
      <c r="C81" s="798"/>
      <c r="D81" s="1685" t="s">
        <v>960</v>
      </c>
      <c r="E81" s="1685"/>
      <c r="F81" s="1685"/>
      <c r="G81" s="1685"/>
      <c r="H81" s="1685"/>
      <c r="I81" s="1685"/>
      <c r="S81" s="798"/>
    </row>
    <row r="82" spans="1:19" s="797" customFormat="1" ht="18" customHeight="1">
      <c r="B82" s="1720"/>
      <c r="C82" s="1729" t="s">
        <v>1151</v>
      </c>
      <c r="D82" s="1730"/>
      <c r="E82" s="1730"/>
      <c r="F82" s="1730"/>
      <c r="G82" s="1730"/>
      <c r="H82" s="1730"/>
      <c r="I82" s="1730"/>
      <c r="J82" s="1730"/>
      <c r="K82" s="1730"/>
      <c r="L82" s="1730"/>
      <c r="M82" s="1730"/>
      <c r="N82" s="1730"/>
      <c r="O82" s="1730"/>
      <c r="P82" s="1730"/>
      <c r="Q82" s="1293"/>
      <c r="R82" s="1294"/>
      <c r="S82" s="1292"/>
    </row>
    <row r="83" spans="1:19" s="797" customFormat="1" ht="16.5" customHeight="1" thickBot="1">
      <c r="B83" s="1721"/>
      <c r="C83" s="1731" t="s">
        <v>1152</v>
      </c>
      <c r="D83" s="1732"/>
      <c r="E83" s="1732"/>
      <c r="F83" s="1732"/>
      <c r="G83" s="1732"/>
      <c r="H83" s="1732"/>
      <c r="I83" s="1732"/>
      <c r="J83" s="1732"/>
      <c r="K83" s="1732"/>
      <c r="L83" s="1732"/>
      <c r="M83" s="1732"/>
      <c r="N83" s="1732"/>
      <c r="O83" s="1732"/>
      <c r="P83" s="1732"/>
      <c r="Q83" s="1290"/>
      <c r="R83" s="1291"/>
      <c r="S83" s="1295"/>
    </row>
    <row r="84" spans="1:19" s="797" customFormat="1" ht="30.75" customHeight="1" thickBot="1">
      <c r="B84" s="884"/>
      <c r="C84" s="1722" t="s">
        <v>1268</v>
      </c>
      <c r="D84" s="1723"/>
      <c r="E84" s="1723"/>
      <c r="F84" s="1723"/>
      <c r="G84" s="1723"/>
      <c r="H84" s="1723"/>
      <c r="I84" s="1723"/>
      <c r="J84" s="1723"/>
      <c r="K84" s="1723"/>
      <c r="L84" s="1723"/>
      <c r="M84" s="1723"/>
      <c r="N84" s="1723"/>
      <c r="O84" s="1723"/>
      <c r="P84" s="1723"/>
      <c r="Q84" s="1723"/>
      <c r="R84" s="1723"/>
      <c r="S84" s="1295"/>
    </row>
    <row r="85" spans="1:19" s="475" customFormat="1" ht="14.25" customHeight="1" thickBot="1">
      <c r="B85" s="877"/>
      <c r="C85" s="1694" t="s">
        <v>998</v>
      </c>
      <c r="D85" s="1695"/>
      <c r="E85" s="1695"/>
      <c r="F85" s="1695"/>
      <c r="G85" s="1695"/>
      <c r="H85" s="1695"/>
      <c r="I85" s="1695"/>
      <c r="J85" s="1695"/>
      <c r="K85" s="1695"/>
      <c r="L85" s="1695"/>
      <c r="M85" s="1695"/>
      <c r="N85" s="1695"/>
      <c r="O85" s="1695"/>
      <c r="P85" s="1695"/>
      <c r="Q85" s="1695"/>
      <c r="R85" s="1695"/>
      <c r="S85" s="799"/>
    </row>
    <row r="86" spans="1:19" s="475" customFormat="1" ht="16.5" customHeight="1" thickBot="1">
      <c r="B86" s="877"/>
      <c r="C86" s="1694" t="s">
        <v>999</v>
      </c>
      <c r="D86" s="1695"/>
      <c r="E86" s="1695"/>
      <c r="F86" s="1695"/>
      <c r="G86" s="1695"/>
      <c r="H86" s="1695"/>
      <c r="I86" s="1695"/>
      <c r="J86" s="1695"/>
      <c r="K86" s="1695"/>
      <c r="L86" s="1695"/>
      <c r="M86" s="1695"/>
      <c r="N86" s="1695"/>
      <c r="O86" s="1695"/>
      <c r="P86" s="1695"/>
      <c r="Q86" s="1695"/>
      <c r="R86" s="1695"/>
      <c r="S86" s="799"/>
    </row>
    <row r="87" spans="1:19" s="475" customFormat="1" ht="16.5" customHeight="1" thickBot="1">
      <c r="B87" s="877"/>
      <c r="C87" s="1694" t="s">
        <v>1000</v>
      </c>
      <c r="D87" s="1695"/>
      <c r="E87" s="1695"/>
      <c r="F87" s="1695"/>
      <c r="G87" s="1695"/>
      <c r="H87" s="1695"/>
      <c r="I87" s="1695"/>
      <c r="J87" s="1695"/>
      <c r="K87" s="1695"/>
      <c r="L87" s="1695"/>
      <c r="M87" s="1695"/>
      <c r="N87" s="1695"/>
      <c r="O87" s="1695"/>
      <c r="P87" s="1695"/>
      <c r="Q87" s="1695"/>
      <c r="R87" s="1695"/>
      <c r="S87" s="799"/>
    </row>
    <row r="88" spans="1:19" s="475" customFormat="1" ht="16.5" customHeight="1" thickBot="1">
      <c r="B88" s="877"/>
      <c r="C88" s="1692" t="s">
        <v>1153</v>
      </c>
      <c r="D88" s="1693"/>
      <c r="E88" s="1693"/>
      <c r="F88" s="1693"/>
      <c r="G88" s="1693"/>
      <c r="H88" s="1693"/>
      <c r="I88" s="1693"/>
      <c r="J88" s="1693"/>
      <c r="K88" s="1693"/>
      <c r="L88" s="1693"/>
      <c r="M88" s="1693"/>
      <c r="N88" s="1693"/>
      <c r="O88" s="1693"/>
      <c r="P88" s="1693"/>
      <c r="Q88" s="1693"/>
      <c r="R88" s="1693"/>
      <c r="S88" s="799"/>
    </row>
    <row r="89" spans="1:19" s="475" customFormat="1" ht="27.75" customHeight="1" thickBot="1">
      <c r="B89" s="877"/>
      <c r="C89" s="1683" t="s">
        <v>1154</v>
      </c>
      <c r="D89" s="1684"/>
      <c r="E89" s="1684"/>
      <c r="F89" s="1684"/>
      <c r="G89" s="1684"/>
      <c r="H89" s="1684"/>
      <c r="I89" s="1684"/>
      <c r="J89" s="1684"/>
      <c r="K89" s="1684"/>
      <c r="L89" s="1684"/>
      <c r="M89" s="1684"/>
      <c r="N89" s="1684"/>
      <c r="O89" s="1684"/>
      <c r="P89" s="1684"/>
      <c r="Q89" s="1684"/>
      <c r="R89" s="1684"/>
      <c r="S89" s="799"/>
    </row>
    <row r="90" spans="1:19" s="475" customFormat="1" ht="16.5" customHeight="1" thickBot="1">
      <c r="B90" s="877"/>
      <c r="C90" s="1692" t="s">
        <v>1002</v>
      </c>
      <c r="D90" s="1693"/>
      <c r="E90" s="1693"/>
      <c r="F90" s="1693"/>
      <c r="G90" s="1693"/>
      <c r="H90" s="1693"/>
      <c r="I90" s="1693"/>
      <c r="J90" s="1693"/>
      <c r="K90" s="1693"/>
      <c r="L90" s="1693"/>
      <c r="M90" s="1693"/>
      <c r="N90" s="1693"/>
      <c r="O90" s="1693"/>
      <c r="P90" s="1693"/>
      <c r="Q90" s="1693"/>
      <c r="R90" s="1693"/>
      <c r="S90" s="799"/>
    </row>
    <row r="91" spans="1:19" s="475" customFormat="1" ht="27" customHeight="1" thickBot="1">
      <c r="B91" s="877"/>
      <c r="C91" s="1690" t="s">
        <v>1003</v>
      </c>
      <c r="D91" s="1691"/>
      <c r="E91" s="1691"/>
      <c r="F91" s="1691"/>
      <c r="G91" s="1691"/>
      <c r="H91" s="1691"/>
      <c r="I91" s="1691"/>
      <c r="J91" s="1691"/>
      <c r="K91" s="1691"/>
      <c r="L91" s="1691"/>
      <c r="M91" s="1691"/>
      <c r="N91" s="1691"/>
      <c r="O91" s="1691"/>
      <c r="P91" s="1691"/>
      <c r="Q91" s="1691"/>
      <c r="R91" s="1691"/>
      <c r="S91" s="799"/>
    </row>
    <row r="92" spans="1:19" s="475" customFormat="1" ht="16.5" customHeight="1" thickBot="1">
      <c r="B92" s="877"/>
      <c r="C92" s="1694" t="s">
        <v>1004</v>
      </c>
      <c r="D92" s="1695"/>
      <c r="E92" s="1695"/>
      <c r="F92" s="1695"/>
      <c r="G92" s="1695"/>
      <c r="H92" s="1695"/>
      <c r="I92" s="1695"/>
      <c r="J92" s="1695"/>
      <c r="K92" s="1695"/>
      <c r="L92" s="1695"/>
      <c r="M92" s="1695"/>
      <c r="N92" s="1695"/>
      <c r="O92" s="1695"/>
      <c r="P92" s="1695"/>
      <c r="Q92" s="1695"/>
      <c r="R92" s="1695"/>
      <c r="S92" s="799"/>
    </row>
    <row r="93" spans="1:19" s="475" customFormat="1" ht="16.5" customHeight="1" thickBot="1">
      <c r="B93" s="877"/>
      <c r="C93" s="1694" t="s">
        <v>1005</v>
      </c>
      <c r="D93" s="1695"/>
      <c r="E93" s="1695"/>
      <c r="F93" s="1695"/>
      <c r="G93" s="1695"/>
      <c r="H93" s="1695"/>
      <c r="I93" s="1695"/>
      <c r="J93" s="1695"/>
      <c r="K93" s="1695"/>
      <c r="L93" s="1695"/>
      <c r="M93" s="1695"/>
      <c r="N93" s="1695"/>
      <c r="O93" s="1695"/>
      <c r="P93" s="1695"/>
      <c r="Q93" s="1695"/>
      <c r="R93" s="1695"/>
    </row>
    <row r="94" spans="1:19" s="475" customFormat="1" ht="16.5" customHeight="1" thickBot="1">
      <c r="B94" s="878"/>
      <c r="C94" s="1692" t="s">
        <v>1127</v>
      </c>
      <c r="D94" s="1693"/>
      <c r="E94" s="1693"/>
      <c r="F94" s="1693"/>
      <c r="G94" s="1693"/>
      <c r="H94" s="1693"/>
      <c r="I94" s="1693"/>
      <c r="J94" s="1693"/>
      <c r="K94" s="1693"/>
      <c r="L94" s="1693"/>
      <c r="M94" s="1693"/>
      <c r="N94" s="1693"/>
      <c r="O94" s="1693"/>
      <c r="P94" s="1693"/>
      <c r="Q94" s="1693"/>
      <c r="R94" s="1693"/>
    </row>
    <row r="95" spans="1:19" s="475" customFormat="1" ht="16.5" customHeight="1">
      <c r="B95" s="897"/>
      <c r="C95" s="1706" t="s">
        <v>983</v>
      </c>
      <c r="D95" s="1688"/>
      <c r="E95" s="1688"/>
      <c r="F95" s="1688"/>
      <c r="G95" s="1688"/>
      <c r="H95" s="1688"/>
      <c r="I95" s="1688"/>
      <c r="J95" s="1688"/>
      <c r="K95" s="1688"/>
      <c r="L95" s="1688"/>
      <c r="M95" s="1688"/>
      <c r="N95" s="1688"/>
      <c r="O95" s="1688"/>
      <c r="P95" s="1688"/>
      <c r="Q95" s="1688"/>
      <c r="R95" s="1688"/>
    </row>
    <row r="96" spans="1:19" s="797" customFormat="1" ht="7.5" customHeight="1">
      <c r="A96" s="47"/>
      <c r="B96" s="870"/>
      <c r="J96" s="477"/>
      <c r="K96" s="477"/>
      <c r="L96" s="477"/>
      <c r="M96" s="477"/>
      <c r="N96" s="477"/>
      <c r="O96" s="477"/>
      <c r="P96" s="477"/>
      <c r="Q96" s="477"/>
      <c r="R96" s="477"/>
    </row>
    <row r="97" spans="1:21" s="475" customFormat="1" ht="19.5" thickBot="1">
      <c r="B97" s="880"/>
      <c r="C97" s="797"/>
      <c r="D97" s="1685" t="s">
        <v>964</v>
      </c>
      <c r="E97" s="1685"/>
      <c r="F97" s="1685"/>
      <c r="G97" s="1685"/>
      <c r="H97" s="1685"/>
      <c r="I97" s="1685"/>
      <c r="J97" s="477"/>
      <c r="K97" s="477"/>
      <c r="L97" s="477"/>
      <c r="M97" s="477"/>
      <c r="N97" s="477"/>
      <c r="O97" s="477"/>
      <c r="P97" s="477"/>
      <c r="Q97" s="477"/>
      <c r="R97" s="477"/>
    </row>
    <row r="98" spans="1:21" s="475" customFormat="1" ht="33.75" customHeight="1" thickBot="1">
      <c r="B98" s="880"/>
      <c r="C98" s="1696" t="s">
        <v>1141</v>
      </c>
      <c r="D98" s="1697"/>
      <c r="E98" s="1697"/>
      <c r="F98" s="1697"/>
      <c r="G98" s="1697"/>
      <c r="H98" s="1697"/>
      <c r="I98" s="1697"/>
      <c r="J98" s="1697"/>
      <c r="K98" s="1697"/>
      <c r="L98" s="1697"/>
      <c r="M98" s="1697"/>
      <c r="N98" s="1697"/>
      <c r="O98" s="1697"/>
      <c r="P98" s="1697"/>
      <c r="Q98" s="1697"/>
      <c r="R98" s="1697"/>
    </row>
    <row r="99" spans="1:21" s="475" customFormat="1" ht="16.5" customHeight="1" thickBot="1">
      <c r="B99" s="880"/>
      <c r="C99" s="1695" t="s">
        <v>1006</v>
      </c>
      <c r="D99" s="1695"/>
      <c r="E99" s="1695"/>
      <c r="F99" s="1695"/>
      <c r="G99" s="1695"/>
      <c r="H99" s="1695"/>
      <c r="I99" s="1695"/>
      <c r="J99" s="1695"/>
      <c r="K99" s="1695"/>
      <c r="L99" s="1695"/>
      <c r="M99" s="1695"/>
      <c r="N99" s="1695"/>
      <c r="O99" s="1695"/>
      <c r="P99" s="1695"/>
      <c r="Q99" s="1695"/>
      <c r="R99" s="1695"/>
    </row>
    <row r="100" spans="1:21" s="898" customFormat="1" ht="16.5" customHeight="1" thickBot="1">
      <c r="A100" s="475"/>
      <c r="B100" s="880"/>
      <c r="C100" s="1695" t="s">
        <v>971</v>
      </c>
      <c r="D100" s="1695"/>
      <c r="E100" s="1695"/>
      <c r="F100" s="1695"/>
      <c r="G100" s="1695"/>
      <c r="H100" s="1695"/>
      <c r="I100" s="1695"/>
      <c r="J100" s="1695"/>
      <c r="K100" s="1695"/>
      <c r="L100" s="1695"/>
      <c r="M100" s="1695"/>
      <c r="N100" s="1695"/>
      <c r="O100" s="1695"/>
      <c r="P100" s="1695"/>
      <c r="Q100" s="1695"/>
      <c r="R100" s="1695"/>
      <c r="S100" s="897"/>
    </row>
    <row r="101" spans="1:21" s="898" customFormat="1" ht="16.5" customHeight="1" thickBot="1">
      <c r="A101" s="475"/>
      <c r="B101" s="880"/>
      <c r="C101" s="1706" t="s">
        <v>972</v>
      </c>
      <c r="D101" s="1688"/>
      <c r="E101" s="1688"/>
      <c r="F101" s="1688"/>
      <c r="G101" s="1688"/>
      <c r="H101" s="1688"/>
      <c r="I101" s="1688"/>
      <c r="J101" s="1688"/>
      <c r="K101" s="1688"/>
      <c r="L101" s="1688"/>
      <c r="M101" s="1688"/>
      <c r="N101" s="1688"/>
      <c r="O101" s="1688"/>
      <c r="P101" s="1688"/>
      <c r="Q101" s="1688"/>
      <c r="R101" s="1688"/>
      <c r="S101" s="475"/>
    </row>
    <row r="102" spans="1:21" s="898" customFormat="1" ht="16.5" customHeight="1" thickBot="1">
      <c r="B102" s="897"/>
      <c r="C102" s="1688" t="s">
        <v>1007</v>
      </c>
      <c r="D102" s="1688"/>
      <c r="E102" s="1688"/>
      <c r="F102" s="1688"/>
      <c r="G102" s="1688"/>
      <c r="H102" s="1688"/>
      <c r="I102" s="1688"/>
      <c r="J102" s="1688"/>
      <c r="K102" s="1688"/>
      <c r="L102" s="1688"/>
      <c r="M102" s="1688"/>
      <c r="N102" s="1688"/>
      <c r="O102" s="1688"/>
      <c r="P102" s="1688"/>
      <c r="Q102" s="1688"/>
      <c r="R102" s="1688"/>
      <c r="S102" s="475"/>
    </row>
    <row r="103" spans="1:21" s="403" customFormat="1" ht="15.75">
      <c r="B103" s="870"/>
      <c r="C103" s="1702" t="s">
        <v>38</v>
      </c>
      <c r="D103" s="1702"/>
      <c r="E103" s="1702"/>
      <c r="F103" s="1702"/>
      <c r="G103" s="891"/>
      <c r="H103" s="891"/>
      <c r="I103" s="905"/>
      <c r="J103" s="905"/>
      <c r="K103" s="905"/>
      <c r="L103" s="905"/>
      <c r="M103" s="905"/>
      <c r="N103" s="905"/>
      <c r="O103" s="905"/>
      <c r="P103" s="905"/>
      <c r="Q103" s="905"/>
      <c r="R103" s="905"/>
      <c r="S103" s="47"/>
    </row>
    <row r="104" spans="1:21" s="518" customFormat="1" ht="41.25" customHeight="1" thickBot="1">
      <c r="A104" s="403"/>
      <c r="B104" s="870"/>
      <c r="C104" s="1711" t="s">
        <v>909</v>
      </c>
      <c r="D104" s="1711"/>
      <c r="E104" s="1711"/>
      <c r="F104" s="1711"/>
      <c r="G104" s="1711"/>
      <c r="H104" s="1711"/>
      <c r="I104" s="1711"/>
      <c r="J104" s="1711"/>
      <c r="K104" s="1711"/>
      <c r="L104" s="1711"/>
      <c r="M104" s="1711"/>
      <c r="N104" s="1711"/>
      <c r="O104" s="1711"/>
      <c r="P104" s="1711"/>
      <c r="Q104" s="1711"/>
      <c r="R104" s="1711"/>
      <c r="S104" s="478"/>
      <c r="U104" s="403"/>
    </row>
    <row r="105" spans="1:21" s="518" customFormat="1" ht="15.75">
      <c r="A105" s="403"/>
      <c r="B105" s="519"/>
      <c r="C105" s="1702" t="s">
        <v>37</v>
      </c>
      <c r="D105" s="1702"/>
      <c r="E105" s="1702"/>
      <c r="F105" s="1702"/>
      <c r="G105" s="891"/>
      <c r="H105" s="891"/>
      <c r="I105" s="905"/>
      <c r="J105" s="905"/>
      <c r="K105" s="905"/>
      <c r="L105" s="905"/>
      <c r="M105" s="905"/>
      <c r="N105" s="905"/>
      <c r="O105" s="905"/>
      <c r="P105" s="905"/>
      <c r="Q105" s="905"/>
      <c r="R105" s="905"/>
      <c r="S105" s="478"/>
    </row>
    <row r="106" spans="1:21" s="518" customFormat="1" ht="28.5" customHeight="1" thickBot="1">
      <c r="B106" s="519"/>
      <c r="C106" s="1711" t="s">
        <v>910</v>
      </c>
      <c r="D106" s="1711"/>
      <c r="E106" s="1711"/>
      <c r="F106" s="1711"/>
      <c r="G106" s="1711"/>
      <c r="H106" s="1711"/>
      <c r="I106" s="1711"/>
      <c r="J106" s="1711"/>
      <c r="K106" s="1711"/>
      <c r="L106" s="1711"/>
      <c r="M106" s="1711"/>
      <c r="N106" s="1711"/>
      <c r="O106" s="1711"/>
      <c r="P106" s="1711"/>
      <c r="Q106" s="1711"/>
      <c r="R106" s="1711"/>
      <c r="S106" s="478"/>
    </row>
    <row r="107" spans="1:21" s="518" customFormat="1" ht="15.75">
      <c r="B107" s="519"/>
      <c r="C107" s="1702" t="s">
        <v>43</v>
      </c>
      <c r="D107" s="1702"/>
      <c r="E107" s="1702"/>
      <c r="F107" s="1702"/>
      <c r="G107" s="906"/>
      <c r="H107" s="906"/>
      <c r="I107" s="905"/>
      <c r="J107" s="905"/>
      <c r="K107" s="905"/>
      <c r="L107" s="905"/>
      <c r="M107" s="905"/>
      <c r="N107" s="905"/>
      <c r="O107" s="905"/>
      <c r="P107" s="905"/>
      <c r="Q107" s="905"/>
      <c r="R107" s="905"/>
      <c r="S107" s="478"/>
    </row>
    <row r="108" spans="1:21" s="518" customFormat="1" ht="17.25" customHeight="1" thickBot="1">
      <c r="B108" s="519"/>
      <c r="C108" s="1716" t="s">
        <v>57</v>
      </c>
      <c r="D108" s="1716"/>
      <c r="E108" s="1716"/>
      <c r="F108" s="1716"/>
      <c r="G108" s="1716"/>
      <c r="H108" s="1716"/>
      <c r="I108" s="1716"/>
      <c r="J108" s="1716"/>
      <c r="K108" s="1716"/>
      <c r="L108" s="1716"/>
      <c r="M108" s="1716"/>
      <c r="N108" s="1716"/>
      <c r="O108" s="1716"/>
      <c r="P108" s="1716"/>
      <c r="Q108" s="1716"/>
      <c r="R108" s="1716"/>
      <c r="S108" s="478"/>
    </row>
    <row r="109" spans="1:21" s="518" customFormat="1" ht="15.75">
      <c r="B109" s="519"/>
      <c r="C109" s="1702" t="s">
        <v>19</v>
      </c>
      <c r="D109" s="1702"/>
      <c r="E109" s="1702"/>
      <c r="F109" s="1702"/>
      <c r="G109" s="907"/>
      <c r="H109" s="907"/>
      <c r="I109" s="907"/>
      <c r="J109" s="907"/>
      <c r="K109" s="907"/>
      <c r="L109" s="907"/>
      <c r="M109" s="907"/>
      <c r="N109" s="907"/>
      <c r="O109" s="907"/>
      <c r="P109" s="907"/>
      <c r="Q109" s="907"/>
      <c r="R109" s="907"/>
      <c r="S109" s="478"/>
    </row>
    <row r="110" spans="1:21" s="518" customFormat="1" ht="17.25" customHeight="1" thickBot="1">
      <c r="B110" s="519"/>
      <c r="C110" s="1716" t="s">
        <v>973</v>
      </c>
      <c r="D110" s="1716"/>
      <c r="E110" s="1716"/>
      <c r="F110" s="1716"/>
      <c r="G110" s="1716"/>
      <c r="H110" s="1716"/>
      <c r="I110" s="1716"/>
      <c r="J110" s="1716"/>
      <c r="K110" s="1716"/>
      <c r="L110" s="1716"/>
      <c r="M110" s="1716"/>
      <c r="N110" s="1716"/>
      <c r="O110" s="1716"/>
      <c r="P110" s="1716"/>
      <c r="Q110" s="1716"/>
      <c r="R110" s="1716"/>
      <c r="S110" s="478"/>
    </row>
    <row r="111" spans="1:21" s="518" customFormat="1" ht="15.75">
      <c r="B111" s="519"/>
      <c r="C111" s="1689" t="s">
        <v>974</v>
      </c>
      <c r="D111" s="1689"/>
      <c r="E111" s="1689"/>
      <c r="F111" s="1689"/>
      <c r="G111" s="1288"/>
      <c r="H111" s="1288"/>
      <c r="I111" s="1289"/>
      <c r="J111" s="1289"/>
      <c r="K111" s="1289"/>
      <c r="L111" s="1289"/>
      <c r="M111" s="1289"/>
      <c r="N111" s="1289"/>
      <c r="O111" s="1289"/>
      <c r="P111" s="1289"/>
      <c r="Q111" s="1289"/>
      <c r="R111" s="1289"/>
      <c r="S111" s="478"/>
    </row>
    <row r="112" spans="1:21" s="518" customFormat="1" ht="12.75" thickBot="1">
      <c r="B112" s="519"/>
      <c r="C112" s="1707" t="s">
        <v>995</v>
      </c>
      <c r="D112" s="1707"/>
      <c r="E112" s="1707"/>
      <c r="F112" s="1707"/>
      <c r="G112" s="1707"/>
      <c r="H112" s="1707"/>
      <c r="I112" s="1707"/>
      <c r="J112" s="1707"/>
      <c r="K112" s="1707"/>
      <c r="L112" s="1707"/>
      <c r="M112" s="1707"/>
      <c r="N112" s="1707"/>
      <c r="O112" s="1707"/>
      <c r="P112" s="1707"/>
      <c r="Q112" s="1707"/>
      <c r="R112" s="1707"/>
      <c r="S112" s="478"/>
    </row>
    <row r="113" spans="2:19" s="518" customFormat="1" ht="45.75" customHeight="1" thickBot="1">
      <c r="B113" s="1708"/>
      <c r="C113" s="1687" t="s">
        <v>1024</v>
      </c>
      <c r="D113" s="1687"/>
      <c r="E113" s="1687"/>
      <c r="F113" s="1687"/>
      <c r="G113" s="1687"/>
      <c r="H113" s="1687"/>
      <c r="I113" s="1687"/>
      <c r="J113" s="1687"/>
      <c r="K113" s="1687"/>
      <c r="L113" s="1687"/>
      <c r="M113" s="1687"/>
      <c r="N113" s="1687"/>
      <c r="O113" s="1687"/>
      <c r="P113" s="1687"/>
      <c r="Q113" s="1687"/>
      <c r="R113" s="1687"/>
      <c r="S113" s="478"/>
    </row>
    <row r="114" spans="2:19" s="518" customFormat="1" ht="12.75" thickBot="1">
      <c r="B114" s="1709"/>
      <c r="C114" s="1710" t="s">
        <v>1025</v>
      </c>
      <c r="D114" s="1710"/>
      <c r="E114" s="1710"/>
      <c r="F114" s="1710"/>
      <c r="G114" s="1710"/>
      <c r="H114" s="1710"/>
      <c r="I114" s="1710"/>
      <c r="J114" s="1710"/>
      <c r="K114" s="1710"/>
      <c r="L114" s="1710"/>
      <c r="M114" s="1710"/>
      <c r="N114" s="1710"/>
      <c r="O114" s="1710"/>
      <c r="P114" s="1710"/>
      <c r="Q114" s="1710"/>
      <c r="R114" s="1710"/>
      <c r="S114" s="478"/>
    </row>
    <row r="115" spans="2:19" s="518" customFormat="1" ht="50.25" customHeight="1" thickBot="1">
      <c r="B115" s="1703"/>
      <c r="C115" s="1701" t="s">
        <v>1149</v>
      </c>
      <c r="D115" s="1701"/>
      <c r="E115" s="1701"/>
      <c r="F115" s="1701"/>
      <c r="G115" s="1701"/>
      <c r="H115" s="1701"/>
      <c r="I115" s="1701"/>
      <c r="J115" s="1701"/>
      <c r="K115" s="1701"/>
      <c r="L115" s="1701"/>
      <c r="M115" s="1701"/>
      <c r="N115" s="1701"/>
      <c r="O115" s="1701"/>
      <c r="P115" s="1701"/>
      <c r="Q115" s="1701"/>
      <c r="R115" s="1701"/>
      <c r="S115" s="478"/>
    </row>
    <row r="116" spans="2:19" s="518" customFormat="1">
      <c r="B116" s="1704"/>
      <c r="C116" s="1705" t="s">
        <v>1148</v>
      </c>
      <c r="D116" s="1705"/>
      <c r="E116" s="1705"/>
      <c r="F116" s="1705"/>
      <c r="G116" s="1705"/>
      <c r="H116" s="1705"/>
      <c r="I116" s="1705"/>
      <c r="J116" s="1705"/>
      <c r="K116" s="1705"/>
      <c r="L116" s="1705"/>
      <c r="M116" s="1705"/>
      <c r="N116" s="1705"/>
      <c r="O116" s="1705"/>
      <c r="P116" s="1705"/>
      <c r="Q116" s="1705"/>
      <c r="R116" s="1705"/>
      <c r="S116" s="478"/>
    </row>
    <row r="117" spans="2:19" s="518" customFormat="1" ht="56.25" customHeight="1">
      <c r="B117" s="519"/>
      <c r="C117" s="1687" t="s">
        <v>1150</v>
      </c>
      <c r="D117" s="1687"/>
      <c r="E117" s="1687"/>
      <c r="F117" s="1687"/>
      <c r="G117" s="1687"/>
      <c r="H117" s="1687"/>
      <c r="I117" s="1687"/>
      <c r="J117" s="1687"/>
      <c r="K117" s="1687"/>
      <c r="L117" s="1687"/>
      <c r="M117" s="1687"/>
      <c r="N117" s="1687"/>
      <c r="O117" s="1687"/>
      <c r="P117" s="1687"/>
      <c r="Q117" s="1687"/>
      <c r="R117" s="1687"/>
      <c r="S117" s="478"/>
    </row>
    <row r="118" spans="2:19" s="518" customFormat="1" ht="7.5" customHeight="1">
      <c r="B118" s="519"/>
      <c r="I118" s="519"/>
      <c r="J118" s="519"/>
      <c r="K118" s="519"/>
      <c r="L118" s="519"/>
      <c r="M118" s="519"/>
      <c r="N118" s="519"/>
      <c r="O118" s="519"/>
      <c r="P118" s="519"/>
      <c r="Q118" s="519"/>
      <c r="R118" s="519"/>
      <c r="S118" s="478"/>
    </row>
    <row r="119" spans="2:19" s="518" customFormat="1" ht="19.5" thickBot="1">
      <c r="B119" s="876"/>
      <c r="D119" s="1685" t="s">
        <v>965</v>
      </c>
      <c r="E119" s="1685"/>
      <c r="F119" s="1685"/>
      <c r="G119" s="1685"/>
      <c r="H119" s="1685"/>
      <c r="I119" s="1685"/>
      <c r="J119" s="519"/>
      <c r="K119" s="519"/>
      <c r="L119" s="519"/>
      <c r="M119" s="519"/>
      <c r="N119" s="519"/>
      <c r="O119" s="519"/>
      <c r="P119" s="519"/>
      <c r="Q119" s="519"/>
      <c r="R119" s="519"/>
      <c r="S119" s="478"/>
    </row>
    <row r="120" spans="2:19" s="899" customFormat="1" ht="17.25" customHeight="1" thickBot="1">
      <c r="B120" s="880"/>
      <c r="C120" s="1696" t="s">
        <v>975</v>
      </c>
      <c r="D120" s="1697"/>
      <c r="E120" s="1697"/>
      <c r="F120" s="1697"/>
      <c r="G120" s="1697"/>
      <c r="H120" s="1697"/>
      <c r="I120" s="1697"/>
      <c r="J120" s="1697"/>
      <c r="K120" s="1697"/>
      <c r="L120" s="1697"/>
      <c r="M120" s="1697"/>
      <c r="N120" s="1697"/>
      <c r="O120" s="1697"/>
      <c r="P120" s="1697"/>
      <c r="Q120" s="1697"/>
      <c r="R120" s="1697"/>
      <c r="S120" s="900"/>
    </row>
    <row r="121" spans="2:19" s="899" customFormat="1" ht="17.25" customHeight="1" thickBot="1">
      <c r="B121" s="880"/>
      <c r="C121" s="1695" t="s">
        <v>1006</v>
      </c>
      <c r="D121" s="1695"/>
      <c r="E121" s="1695"/>
      <c r="F121" s="1695"/>
      <c r="G121" s="1695"/>
      <c r="H121" s="1695"/>
      <c r="I121" s="1695"/>
      <c r="J121" s="1695"/>
      <c r="K121" s="1695"/>
      <c r="L121" s="1695"/>
      <c r="M121" s="1695"/>
      <c r="N121" s="1695"/>
      <c r="O121" s="1695"/>
      <c r="P121" s="1695"/>
      <c r="Q121" s="1695"/>
      <c r="R121" s="1695"/>
      <c r="S121" s="900"/>
    </row>
    <row r="122" spans="2:19" s="899" customFormat="1" ht="17.25" customHeight="1" thickBot="1">
      <c r="B122" s="880"/>
      <c r="C122" s="1695" t="s">
        <v>971</v>
      </c>
      <c r="D122" s="1695"/>
      <c r="E122" s="1695"/>
      <c r="F122" s="1695"/>
      <c r="G122" s="1695"/>
      <c r="H122" s="1695"/>
      <c r="I122" s="1695"/>
      <c r="J122" s="1695"/>
      <c r="K122" s="1695"/>
      <c r="L122" s="1695"/>
      <c r="M122" s="1695"/>
      <c r="N122" s="1695"/>
      <c r="O122" s="1695"/>
      <c r="P122" s="1695"/>
      <c r="Q122" s="1695"/>
      <c r="R122" s="1695"/>
      <c r="S122" s="900"/>
    </row>
    <row r="123" spans="2:19" s="899" customFormat="1" ht="17.25" customHeight="1" thickBot="1">
      <c r="B123" s="880"/>
      <c r="C123" s="1706" t="s">
        <v>972</v>
      </c>
      <c r="D123" s="1688"/>
      <c r="E123" s="1688"/>
      <c r="F123" s="1688"/>
      <c r="G123" s="1688"/>
      <c r="H123" s="1688"/>
      <c r="I123" s="1688"/>
      <c r="J123" s="1688"/>
      <c r="K123" s="1688"/>
      <c r="L123" s="1688"/>
      <c r="M123" s="1688"/>
      <c r="N123" s="1688"/>
      <c r="O123" s="1688"/>
      <c r="P123" s="1688"/>
      <c r="Q123" s="1688"/>
      <c r="R123" s="1688"/>
      <c r="S123" s="900"/>
    </row>
    <row r="124" spans="2:19" s="899" customFormat="1" ht="17.25" customHeight="1" thickBot="1">
      <c r="B124" s="901"/>
      <c r="C124" s="1688" t="s">
        <v>1007</v>
      </c>
      <c r="D124" s="1688"/>
      <c r="E124" s="1688"/>
      <c r="F124" s="1688"/>
      <c r="G124" s="1688"/>
      <c r="H124" s="1688"/>
      <c r="I124" s="1688"/>
      <c r="J124" s="1688"/>
      <c r="K124" s="1688"/>
      <c r="L124" s="1688"/>
      <c r="M124" s="1688"/>
      <c r="N124" s="1688"/>
      <c r="O124" s="1688"/>
      <c r="P124" s="1688"/>
      <c r="Q124" s="1688"/>
      <c r="R124" s="1688"/>
      <c r="S124" s="900"/>
    </row>
    <row r="125" spans="2:19" s="518" customFormat="1" ht="15.75">
      <c r="B125" s="519"/>
      <c r="C125" s="1689" t="s">
        <v>974</v>
      </c>
      <c r="D125" s="1689"/>
      <c r="E125" s="1689"/>
      <c r="F125" s="1689"/>
      <c r="G125" s="1288"/>
      <c r="H125" s="1288"/>
      <c r="I125" s="1289"/>
      <c r="J125" s="1289"/>
      <c r="K125" s="1289"/>
      <c r="L125" s="1289"/>
      <c r="M125" s="1289"/>
      <c r="N125" s="1289"/>
      <c r="O125" s="1289"/>
      <c r="P125" s="1289"/>
      <c r="Q125" s="1289"/>
      <c r="R125" s="1289"/>
      <c r="S125" s="478"/>
    </row>
    <row r="126" spans="2:19" s="518" customFormat="1" ht="12.75" thickBot="1">
      <c r="B126" s="519"/>
      <c r="C126" s="1707" t="s">
        <v>995</v>
      </c>
      <c r="D126" s="1707"/>
      <c r="E126" s="1707"/>
      <c r="F126" s="1707"/>
      <c r="G126" s="1707"/>
      <c r="H126" s="1707"/>
      <c r="I126" s="1707"/>
      <c r="J126" s="1707"/>
      <c r="K126" s="1707"/>
      <c r="L126" s="1707"/>
      <c r="M126" s="1707"/>
      <c r="N126" s="1707"/>
      <c r="O126" s="1707"/>
      <c r="P126" s="1707"/>
      <c r="Q126" s="1707"/>
      <c r="R126" s="1707"/>
      <c r="S126" s="478"/>
    </row>
    <row r="127" spans="2:19" s="518" customFormat="1" ht="46.5" customHeight="1" thickBot="1">
      <c r="B127" s="1708"/>
      <c r="C127" s="1687" t="s">
        <v>1157</v>
      </c>
      <c r="D127" s="1687"/>
      <c r="E127" s="1687"/>
      <c r="F127" s="1687"/>
      <c r="G127" s="1687"/>
      <c r="H127" s="1687"/>
      <c r="I127" s="1687"/>
      <c r="J127" s="1687"/>
      <c r="K127" s="1687"/>
      <c r="L127" s="1687"/>
      <c r="M127" s="1687"/>
      <c r="N127" s="1687"/>
      <c r="O127" s="1687"/>
      <c r="P127" s="1687"/>
      <c r="Q127" s="1687"/>
      <c r="R127" s="1687"/>
      <c r="S127" s="478"/>
    </row>
    <row r="128" spans="2:19" s="518" customFormat="1" ht="12.75" thickBot="1">
      <c r="B128" s="1709"/>
      <c r="C128" s="1710" t="s">
        <v>1025</v>
      </c>
      <c r="D128" s="1710"/>
      <c r="E128" s="1710"/>
      <c r="F128" s="1710"/>
      <c r="G128" s="1710"/>
      <c r="H128" s="1710"/>
      <c r="I128" s="1710"/>
      <c r="J128" s="1710"/>
      <c r="K128" s="1710"/>
      <c r="L128" s="1710"/>
      <c r="M128" s="1710"/>
      <c r="N128" s="1710"/>
      <c r="O128" s="1710"/>
      <c r="P128" s="1710"/>
      <c r="Q128" s="1710"/>
      <c r="R128" s="1710"/>
      <c r="S128" s="478"/>
    </row>
    <row r="129" spans="1:19" s="518" customFormat="1" ht="54.75" customHeight="1" thickBot="1">
      <c r="B129" s="1703"/>
      <c r="C129" s="1701" t="s">
        <v>1027</v>
      </c>
      <c r="D129" s="1701"/>
      <c r="E129" s="1701"/>
      <c r="F129" s="1701"/>
      <c r="G129" s="1701"/>
      <c r="H129" s="1701"/>
      <c r="I129" s="1701"/>
      <c r="J129" s="1701"/>
      <c r="K129" s="1701"/>
      <c r="L129" s="1701"/>
      <c r="M129" s="1701"/>
      <c r="N129" s="1701"/>
      <c r="O129" s="1701"/>
      <c r="P129" s="1701"/>
      <c r="Q129" s="1701"/>
      <c r="R129" s="1701"/>
      <c r="S129" s="478"/>
    </row>
    <row r="130" spans="1:19" s="518" customFormat="1" ht="13.5" customHeight="1">
      <c r="B130" s="1704"/>
      <c r="C130" s="1705" t="s">
        <v>1026</v>
      </c>
      <c r="D130" s="1705"/>
      <c r="E130" s="1705"/>
      <c r="F130" s="1705"/>
      <c r="G130" s="1705"/>
      <c r="H130" s="1705"/>
      <c r="I130" s="1705"/>
      <c r="J130" s="1705"/>
      <c r="K130" s="1705"/>
      <c r="L130" s="1705"/>
      <c r="M130" s="1705"/>
      <c r="N130" s="1705"/>
      <c r="O130" s="1705"/>
      <c r="P130" s="1705"/>
      <c r="Q130" s="1705"/>
      <c r="R130" s="1705"/>
      <c r="S130" s="478"/>
    </row>
    <row r="131" spans="1:19" s="518" customFormat="1" ht="55.5" customHeight="1">
      <c r="B131" s="519"/>
      <c r="C131" s="1687" t="s">
        <v>1028</v>
      </c>
      <c r="D131" s="1687"/>
      <c r="E131" s="1687"/>
      <c r="F131" s="1687"/>
      <c r="G131" s="1687"/>
      <c r="H131" s="1687"/>
      <c r="I131" s="1687"/>
      <c r="J131" s="1687"/>
      <c r="K131" s="1687"/>
      <c r="L131" s="1687"/>
      <c r="M131" s="1687"/>
      <c r="N131" s="1687"/>
      <c r="O131" s="1687"/>
      <c r="P131" s="1687"/>
      <c r="Q131" s="1687"/>
      <c r="R131" s="1687"/>
      <c r="S131" s="478"/>
    </row>
    <row r="132" spans="1:19" s="518" customFormat="1" ht="7.5" customHeight="1">
      <c r="B132" s="519"/>
      <c r="I132" s="519"/>
      <c r="J132" s="519"/>
      <c r="K132" s="519"/>
      <c r="L132" s="519"/>
      <c r="M132" s="519"/>
      <c r="N132" s="519"/>
      <c r="O132" s="519"/>
      <c r="P132" s="519"/>
      <c r="Q132" s="519"/>
      <c r="R132" s="519"/>
      <c r="S132" s="478"/>
    </row>
    <row r="133" spans="1:19" ht="19.5" thickBot="1">
      <c r="A133" s="518"/>
      <c r="B133" s="880"/>
      <c r="C133" s="518"/>
      <c r="D133" s="1685" t="s">
        <v>44</v>
      </c>
      <c r="E133" s="1685"/>
      <c r="F133" s="1685"/>
      <c r="G133" s="1685"/>
      <c r="H133" s="1685"/>
      <c r="I133" s="1685"/>
      <c r="J133" s="519"/>
      <c r="K133" s="519"/>
      <c r="L133" s="519"/>
      <c r="M133" s="519"/>
      <c r="N133" s="519"/>
      <c r="O133" s="519"/>
      <c r="P133" s="519"/>
      <c r="Q133" s="519"/>
      <c r="R133" s="519"/>
    </row>
    <row r="134" spans="1:19" s="798" customFormat="1" ht="17.25" customHeight="1" thickBot="1">
      <c r="A134" s="518"/>
      <c r="B134" s="519"/>
      <c r="C134" s="1715" t="s">
        <v>977</v>
      </c>
      <c r="D134" s="1715"/>
      <c r="E134" s="1715"/>
      <c r="F134" s="1715"/>
      <c r="G134" s="1715"/>
      <c r="H134" s="1715"/>
      <c r="I134" s="1715"/>
      <c r="J134" s="1715"/>
      <c r="K134" s="1715"/>
      <c r="L134" s="1715"/>
      <c r="M134" s="1715"/>
      <c r="N134" s="1715"/>
      <c r="O134" s="1715"/>
      <c r="P134" s="1715"/>
      <c r="Q134" s="1715"/>
      <c r="R134" s="1715"/>
    </row>
    <row r="135" spans="1:19" s="798" customFormat="1" ht="16.5" thickBot="1">
      <c r="A135" s="3"/>
      <c r="B135" s="881"/>
      <c r="C135" s="1702" t="s">
        <v>976</v>
      </c>
      <c r="D135" s="1702"/>
      <c r="E135" s="1702"/>
      <c r="F135" s="1702"/>
      <c r="G135" s="891"/>
      <c r="H135" s="891"/>
      <c r="I135" s="905"/>
      <c r="J135" s="905"/>
      <c r="K135" s="905"/>
      <c r="L135" s="905"/>
      <c r="M135" s="905"/>
      <c r="N135" s="905"/>
      <c r="O135" s="905"/>
      <c r="P135" s="905"/>
      <c r="Q135" s="905"/>
      <c r="R135" s="905"/>
    </row>
    <row r="136" spans="1:19" s="798" customFormat="1" ht="21" customHeight="1" thickBot="1">
      <c r="A136" s="3"/>
      <c r="B136" s="519"/>
      <c r="C136" s="1712" t="s">
        <v>994</v>
      </c>
      <c r="D136" s="1713"/>
      <c r="E136" s="1713"/>
      <c r="F136" s="1713"/>
      <c r="G136" s="1713"/>
      <c r="H136" s="1713"/>
      <c r="I136" s="1713"/>
      <c r="J136" s="1713"/>
      <c r="K136" s="1713"/>
      <c r="L136" s="1713"/>
      <c r="M136" s="1713"/>
      <c r="N136" s="1713"/>
      <c r="O136" s="1713"/>
      <c r="P136" s="1713"/>
      <c r="Q136" s="1713"/>
      <c r="R136" s="1713"/>
    </row>
    <row r="137" spans="1:19" s="798" customFormat="1" ht="16.5" thickBot="1">
      <c r="A137" s="3"/>
      <c r="B137" s="876"/>
      <c r="C137" s="1714" t="s">
        <v>978</v>
      </c>
      <c r="D137" s="1702"/>
      <c r="E137" s="1702"/>
      <c r="F137" s="1702"/>
      <c r="G137" s="891"/>
      <c r="H137" s="891"/>
      <c r="I137" s="905"/>
      <c r="J137" s="905"/>
      <c r="K137" s="905"/>
      <c r="L137" s="905"/>
      <c r="M137" s="905"/>
      <c r="N137" s="905"/>
      <c r="O137" s="905"/>
      <c r="P137" s="905"/>
      <c r="Q137" s="905"/>
      <c r="R137" s="905"/>
    </row>
    <row r="138" spans="1:19" s="518" customFormat="1" ht="34.5" customHeight="1" thickBot="1">
      <c r="A138" s="3"/>
      <c r="B138" s="519"/>
      <c r="C138" s="1711" t="s">
        <v>984</v>
      </c>
      <c r="D138" s="1711"/>
      <c r="E138" s="1711"/>
      <c r="F138" s="1711"/>
      <c r="G138" s="1711"/>
      <c r="H138" s="1711"/>
      <c r="I138" s="1711"/>
      <c r="J138" s="1711"/>
      <c r="K138" s="1711"/>
      <c r="L138" s="1711"/>
      <c r="M138" s="1711"/>
      <c r="N138" s="1711"/>
      <c r="O138" s="1711"/>
      <c r="P138" s="1711"/>
      <c r="Q138" s="1711"/>
      <c r="R138" s="1711"/>
      <c r="S138" s="478"/>
    </row>
    <row r="139" spans="1:19" s="518" customFormat="1" ht="16.5" thickBot="1">
      <c r="A139" s="3"/>
      <c r="B139" s="876"/>
      <c r="C139" s="1689" t="s">
        <v>980</v>
      </c>
      <c r="D139" s="1689"/>
      <c r="E139" s="1689"/>
      <c r="F139" s="1689"/>
      <c r="G139" s="1286"/>
      <c r="H139" s="1286"/>
      <c r="I139" s="1289"/>
      <c r="J139" s="1289"/>
      <c r="K139" s="1289"/>
      <c r="L139" s="1289"/>
      <c r="M139" s="1289"/>
      <c r="N139" s="1289"/>
      <c r="O139" s="1289"/>
      <c r="P139" s="1289"/>
      <c r="Q139" s="1289"/>
      <c r="R139" s="1289"/>
      <c r="S139" s="478"/>
    </row>
    <row r="140" spans="1:19" s="518" customFormat="1" ht="42.75" customHeight="1" thickBot="1">
      <c r="B140" s="519"/>
      <c r="C140" s="1701" t="s">
        <v>1008</v>
      </c>
      <c r="D140" s="1701"/>
      <c r="E140" s="1701"/>
      <c r="F140" s="1701"/>
      <c r="G140" s="1701"/>
      <c r="H140" s="1701"/>
      <c r="I140" s="1701"/>
      <c r="J140" s="1701"/>
      <c r="K140" s="1701"/>
      <c r="L140" s="1701"/>
      <c r="M140" s="1701"/>
      <c r="N140" s="1701"/>
      <c r="O140" s="1701"/>
      <c r="P140" s="1701"/>
      <c r="Q140" s="1701"/>
      <c r="R140" s="1701"/>
      <c r="S140" s="478"/>
    </row>
    <row r="141" spans="1:19" s="518" customFormat="1" ht="15.75">
      <c r="B141" s="519"/>
      <c r="C141" s="1702" t="s">
        <v>981</v>
      </c>
      <c r="D141" s="1702"/>
      <c r="E141" s="1702"/>
      <c r="F141" s="1702"/>
      <c r="G141" s="1702"/>
      <c r="H141" s="1702"/>
      <c r="I141" s="905"/>
      <c r="J141" s="905"/>
      <c r="K141" s="905"/>
      <c r="L141" s="905"/>
      <c r="M141" s="905"/>
      <c r="N141" s="905"/>
      <c r="O141" s="905"/>
      <c r="P141" s="905"/>
      <c r="Q141" s="905"/>
      <c r="R141" s="905"/>
      <c r="S141" s="478"/>
    </row>
    <row r="142" spans="1:19" s="518" customFormat="1" ht="36.75" customHeight="1" thickBot="1">
      <c r="B142" s="519"/>
      <c r="C142" s="1711" t="s">
        <v>984</v>
      </c>
      <c r="D142" s="1711"/>
      <c r="E142" s="1711"/>
      <c r="F142" s="1711"/>
      <c r="G142" s="1711"/>
      <c r="H142" s="1711"/>
      <c r="I142" s="1711"/>
      <c r="J142" s="1711"/>
      <c r="K142" s="1711"/>
      <c r="L142" s="1711"/>
      <c r="M142" s="1711"/>
      <c r="N142" s="1711"/>
      <c r="O142" s="1711"/>
      <c r="P142" s="1711"/>
      <c r="Q142" s="1711"/>
      <c r="R142" s="1711"/>
      <c r="S142" s="478"/>
    </row>
    <row r="143" spans="1:19" s="518" customFormat="1" ht="7.5" customHeight="1">
      <c r="B143" s="519"/>
      <c r="I143" s="519"/>
      <c r="J143" s="519"/>
      <c r="K143" s="519"/>
      <c r="L143" s="519"/>
      <c r="M143" s="519"/>
      <c r="N143" s="519"/>
      <c r="O143" s="519"/>
      <c r="P143" s="519"/>
      <c r="Q143" s="519"/>
      <c r="R143" s="519"/>
      <c r="S143" s="478"/>
    </row>
    <row r="144" spans="1:19" s="797" customFormat="1" ht="19.5" customHeight="1">
      <c r="B144" s="870"/>
      <c r="D144" s="1685" t="s">
        <v>1171</v>
      </c>
      <c r="E144" s="1685"/>
      <c r="F144" s="1685"/>
      <c r="G144" s="1685"/>
      <c r="H144" s="1685"/>
      <c r="I144" s="1685"/>
      <c r="J144" s="477"/>
      <c r="K144" s="477"/>
      <c r="L144" s="477"/>
      <c r="M144" s="477"/>
      <c r="N144" s="477"/>
      <c r="O144" s="477"/>
      <c r="P144" s="477"/>
      <c r="Q144" s="477"/>
      <c r="R144" s="477"/>
    </row>
    <row r="145" spans="2:19" s="797" customFormat="1" ht="17.25" customHeight="1" thickBot="1">
      <c r="B145" s="870"/>
      <c r="C145" s="1696" t="s">
        <v>1173</v>
      </c>
      <c r="D145" s="1697"/>
      <c r="E145" s="1697"/>
      <c r="F145" s="1697"/>
      <c r="G145" s="1697"/>
      <c r="H145" s="1697"/>
      <c r="I145" s="1697"/>
      <c r="J145" s="1697"/>
      <c r="K145" s="1697"/>
      <c r="L145" s="1697"/>
      <c r="M145" s="1697"/>
      <c r="N145" s="1697"/>
      <c r="O145" s="1697"/>
      <c r="P145" s="1697"/>
      <c r="Q145" s="1697"/>
      <c r="R145" s="1697"/>
    </row>
    <row r="146" spans="2:19" s="797" customFormat="1" ht="24.75" customHeight="1">
      <c r="B146" s="870"/>
      <c r="C146" s="1698" t="s">
        <v>1273</v>
      </c>
      <c r="D146" s="1688"/>
      <c r="E146" s="1688"/>
      <c r="F146" s="1688"/>
      <c r="G146" s="1688"/>
      <c r="H146" s="1688"/>
      <c r="I146" s="1688"/>
      <c r="J146" s="1688"/>
      <c r="K146" s="1688"/>
      <c r="L146" s="1688"/>
      <c r="M146" s="1688"/>
      <c r="N146" s="1688"/>
      <c r="O146" s="1688"/>
      <c r="P146" s="1688"/>
      <c r="Q146" s="1688"/>
      <c r="R146" s="1688"/>
    </row>
    <row r="147" spans="2:19" s="797" customFormat="1" ht="7.5" customHeight="1">
      <c r="B147" s="870"/>
      <c r="J147" s="477"/>
      <c r="K147" s="477"/>
      <c r="L147" s="477"/>
      <c r="M147" s="477"/>
      <c r="N147" s="477"/>
      <c r="O147" s="477"/>
      <c r="P147" s="477"/>
      <c r="Q147" s="477"/>
      <c r="R147" s="477"/>
    </row>
    <row r="148" spans="2:19" s="518" customFormat="1" ht="18.75">
      <c r="B148" s="519"/>
      <c r="D148" s="1685" t="s">
        <v>966</v>
      </c>
      <c r="E148" s="1685"/>
      <c r="F148" s="1685"/>
      <c r="G148" s="1685"/>
      <c r="H148" s="1685"/>
      <c r="I148" s="1685"/>
      <c r="J148" s="519"/>
      <c r="K148" s="519"/>
      <c r="L148" s="519"/>
      <c r="M148" s="519"/>
      <c r="N148" s="519"/>
      <c r="O148" s="519"/>
      <c r="P148" s="519"/>
      <c r="Q148" s="519"/>
      <c r="R148" s="519"/>
      <c r="S148" s="478"/>
    </row>
    <row r="149" spans="2:19" s="518" customFormat="1" ht="17.25" customHeight="1" thickBot="1">
      <c r="B149" s="882"/>
      <c r="C149" s="1699" t="s">
        <v>70</v>
      </c>
      <c r="D149" s="1700"/>
      <c r="E149" s="1700"/>
      <c r="F149" s="1700"/>
      <c r="G149" s="1700"/>
      <c r="H149" s="1700"/>
      <c r="I149" s="1700"/>
      <c r="J149" s="1700"/>
      <c r="K149" s="1700"/>
      <c r="L149" s="1700"/>
      <c r="M149" s="1700"/>
      <c r="N149" s="1700"/>
      <c r="O149" s="1700"/>
      <c r="P149" s="1700"/>
      <c r="Q149" s="1700"/>
      <c r="R149" s="1700"/>
      <c r="S149" s="478"/>
    </row>
    <row r="150" spans="2:19" s="518" customFormat="1" ht="27.75" customHeight="1" thickBot="1">
      <c r="B150" s="883"/>
      <c r="C150" s="1690" t="s">
        <v>997</v>
      </c>
      <c r="D150" s="1691"/>
      <c r="E150" s="1691"/>
      <c r="F150" s="1691"/>
      <c r="G150" s="1691"/>
      <c r="H150" s="1691"/>
      <c r="I150" s="1691"/>
      <c r="J150" s="1691"/>
      <c r="K150" s="1691"/>
      <c r="L150" s="1691"/>
      <c r="M150" s="1691"/>
      <c r="N150" s="1691"/>
      <c r="O150" s="1691"/>
      <c r="P150" s="1691"/>
      <c r="Q150" s="1691"/>
      <c r="R150" s="1691"/>
      <c r="S150" s="478"/>
    </row>
    <row r="151" spans="2:19" s="518" customFormat="1" ht="39" customHeight="1" thickBot="1">
      <c r="B151" s="883"/>
      <c r="C151" s="1690" t="s">
        <v>1269</v>
      </c>
      <c r="D151" s="1691"/>
      <c r="E151" s="1691"/>
      <c r="F151" s="1691"/>
      <c r="G151" s="1691"/>
      <c r="H151" s="1691"/>
      <c r="I151" s="1691"/>
      <c r="J151" s="1691"/>
      <c r="K151" s="1691"/>
      <c r="L151" s="1691"/>
      <c r="M151" s="1691"/>
      <c r="N151" s="1691"/>
      <c r="O151" s="1691"/>
      <c r="P151" s="1691"/>
      <c r="Q151" s="1691"/>
      <c r="R151" s="1691"/>
      <c r="S151" s="478"/>
    </row>
    <row r="152" spans="2:19" s="518" customFormat="1" ht="17.25" customHeight="1" thickBot="1">
      <c r="B152" s="883"/>
      <c r="C152" s="1694" t="s">
        <v>1009</v>
      </c>
      <c r="D152" s="1695"/>
      <c r="E152" s="1695"/>
      <c r="F152" s="1695"/>
      <c r="G152" s="1695"/>
      <c r="H152" s="1695"/>
      <c r="I152" s="1695"/>
      <c r="J152" s="1695"/>
      <c r="K152" s="1695"/>
      <c r="L152" s="1695"/>
      <c r="M152" s="1695"/>
      <c r="N152" s="1695"/>
      <c r="O152" s="1695"/>
      <c r="P152" s="1695"/>
      <c r="Q152" s="1695"/>
      <c r="R152" s="1695"/>
      <c r="S152" s="478"/>
    </row>
    <row r="153" spans="2:19" s="518" customFormat="1" ht="17.25" customHeight="1" thickBot="1">
      <c r="B153" s="883"/>
      <c r="C153" s="1694" t="s">
        <v>1010</v>
      </c>
      <c r="D153" s="1695"/>
      <c r="E153" s="1695"/>
      <c r="F153" s="1695"/>
      <c r="G153" s="1695"/>
      <c r="H153" s="1695"/>
      <c r="I153" s="1695"/>
      <c r="J153" s="1695"/>
      <c r="K153" s="1695"/>
      <c r="L153" s="1695"/>
      <c r="M153" s="1695"/>
      <c r="N153" s="1695"/>
      <c r="O153" s="1695"/>
      <c r="P153" s="1695"/>
      <c r="Q153" s="1695"/>
      <c r="R153" s="1695"/>
      <c r="S153" s="478"/>
    </row>
    <row r="154" spans="2:19" s="518" customFormat="1" ht="17.25" customHeight="1" thickBot="1">
      <c r="B154" s="883"/>
      <c r="C154" s="1694" t="s">
        <v>1011</v>
      </c>
      <c r="D154" s="1695"/>
      <c r="E154" s="1695"/>
      <c r="F154" s="1695"/>
      <c r="G154" s="1695"/>
      <c r="H154" s="1695"/>
      <c r="I154" s="1695"/>
      <c r="J154" s="1695"/>
      <c r="K154" s="1695"/>
      <c r="L154" s="1695"/>
      <c r="M154" s="1695"/>
      <c r="N154" s="1695"/>
      <c r="O154" s="1695"/>
      <c r="P154" s="1695"/>
      <c r="Q154" s="1695"/>
      <c r="R154" s="1695"/>
      <c r="S154" s="478"/>
    </row>
    <row r="155" spans="2:19" s="518" customFormat="1" ht="17.25" customHeight="1" thickBot="1">
      <c r="B155" s="883"/>
      <c r="C155" s="1694" t="s">
        <v>1012</v>
      </c>
      <c r="D155" s="1695"/>
      <c r="E155" s="1695"/>
      <c r="F155" s="1695"/>
      <c r="G155" s="1695"/>
      <c r="H155" s="1695"/>
      <c r="I155" s="1695"/>
      <c r="J155" s="1695"/>
      <c r="K155" s="1695"/>
      <c r="L155" s="1695"/>
      <c r="M155" s="1695"/>
      <c r="N155" s="1695"/>
      <c r="O155" s="1695"/>
      <c r="P155" s="1695"/>
      <c r="Q155" s="1695"/>
      <c r="R155" s="1695"/>
      <c r="S155" s="478"/>
    </row>
    <row r="156" spans="2:19" s="518" customFormat="1" ht="17.25" customHeight="1" thickBot="1">
      <c r="B156" s="883"/>
      <c r="C156" s="1694" t="s">
        <v>1013</v>
      </c>
      <c r="D156" s="1695"/>
      <c r="E156" s="1695"/>
      <c r="F156" s="1695"/>
      <c r="G156" s="1695"/>
      <c r="H156" s="1695"/>
      <c r="I156" s="1695"/>
      <c r="J156" s="1695"/>
      <c r="K156" s="1695"/>
      <c r="L156" s="1695"/>
      <c r="M156" s="1695"/>
      <c r="N156" s="1695"/>
      <c r="O156" s="1695"/>
      <c r="P156" s="1695"/>
      <c r="Q156" s="1695"/>
      <c r="R156" s="1695"/>
      <c r="S156" s="478"/>
    </row>
    <row r="157" spans="2:19" s="518" customFormat="1" ht="17.25" customHeight="1" thickBot="1">
      <c r="B157" s="884"/>
      <c r="C157" s="1694" t="s">
        <v>1014</v>
      </c>
      <c r="D157" s="1695"/>
      <c r="E157" s="1695"/>
      <c r="F157" s="1695"/>
      <c r="G157" s="1695"/>
      <c r="H157" s="1695"/>
      <c r="I157" s="1695"/>
      <c r="J157" s="1695"/>
      <c r="K157" s="1695"/>
      <c r="L157" s="1695"/>
      <c r="M157" s="1695"/>
      <c r="N157" s="1695"/>
      <c r="O157" s="1695"/>
      <c r="P157" s="1695"/>
      <c r="Q157" s="1695"/>
      <c r="R157" s="1695"/>
      <c r="S157" s="478"/>
    </row>
    <row r="158" spans="2:19" s="518" customFormat="1" ht="17.25" customHeight="1" thickBot="1">
      <c r="B158" s="885"/>
      <c r="C158" s="1694" t="s">
        <v>1015</v>
      </c>
      <c r="D158" s="1695"/>
      <c r="E158" s="1695"/>
      <c r="F158" s="1695"/>
      <c r="G158" s="1695"/>
      <c r="H158" s="1695"/>
      <c r="I158" s="1695"/>
      <c r="J158" s="1695"/>
      <c r="K158" s="1695"/>
      <c r="L158" s="1695"/>
      <c r="M158" s="1695"/>
      <c r="N158" s="1695"/>
      <c r="O158" s="1695"/>
      <c r="P158" s="1695"/>
      <c r="Q158" s="1695"/>
      <c r="R158" s="1695"/>
      <c r="S158" s="478"/>
    </row>
    <row r="159" spans="2:19" s="518" customFormat="1" ht="17.25" customHeight="1" thickBot="1">
      <c r="B159" s="884"/>
      <c r="C159" s="1694" t="s">
        <v>1155</v>
      </c>
      <c r="D159" s="1695"/>
      <c r="E159" s="1695"/>
      <c r="F159" s="1695"/>
      <c r="G159" s="1695"/>
      <c r="H159" s="1695"/>
      <c r="I159" s="1695"/>
      <c r="J159" s="1695"/>
      <c r="K159" s="1695"/>
      <c r="L159" s="1695"/>
      <c r="M159" s="1695"/>
      <c r="N159" s="1695"/>
      <c r="O159" s="1695"/>
      <c r="P159" s="1695"/>
      <c r="Q159" s="1695"/>
      <c r="R159" s="1695"/>
      <c r="S159" s="478"/>
    </row>
    <row r="160" spans="2:19" s="899" customFormat="1" ht="17.25" customHeight="1" thickBot="1">
      <c r="B160" s="884"/>
      <c r="C160" s="1694" t="s">
        <v>1016</v>
      </c>
      <c r="D160" s="1695"/>
      <c r="E160" s="1695"/>
      <c r="F160" s="1695"/>
      <c r="G160" s="1695"/>
      <c r="H160" s="1695"/>
      <c r="I160" s="1695"/>
      <c r="J160" s="1695"/>
      <c r="K160" s="1695"/>
      <c r="L160" s="1695"/>
      <c r="M160" s="1695"/>
      <c r="N160" s="1695"/>
      <c r="O160" s="1695"/>
      <c r="P160" s="1695"/>
      <c r="Q160" s="1695"/>
      <c r="R160" s="1695"/>
      <c r="S160" s="900"/>
    </row>
    <row r="161" spans="2:19" s="518" customFormat="1" ht="17.25" customHeight="1" thickBot="1">
      <c r="B161" s="883"/>
      <c r="C161" s="1692" t="s">
        <v>1270</v>
      </c>
      <c r="D161" s="1693"/>
      <c r="E161" s="1693"/>
      <c r="F161" s="1693"/>
      <c r="G161" s="1693"/>
      <c r="H161" s="1693"/>
      <c r="I161" s="1693"/>
      <c r="J161" s="1693"/>
      <c r="K161" s="1693"/>
      <c r="L161" s="1693"/>
      <c r="M161" s="1693"/>
      <c r="N161" s="1693"/>
      <c r="O161" s="1693"/>
      <c r="P161" s="1693"/>
      <c r="Q161" s="1693"/>
      <c r="R161" s="1693"/>
      <c r="S161" s="478"/>
    </row>
    <row r="162" spans="2:19" s="518" customFormat="1" ht="17.25" customHeight="1" thickBot="1">
      <c r="B162" s="883"/>
      <c r="C162" s="1692" t="s">
        <v>1128</v>
      </c>
      <c r="D162" s="1693"/>
      <c r="E162" s="1693"/>
      <c r="F162" s="1693"/>
      <c r="G162" s="1693"/>
      <c r="H162" s="1693"/>
      <c r="I162" s="1693"/>
      <c r="J162" s="1693"/>
      <c r="K162" s="1693"/>
      <c r="L162" s="1693"/>
      <c r="M162" s="1693"/>
      <c r="N162" s="1693"/>
      <c r="O162" s="1693"/>
      <c r="P162" s="1693"/>
      <c r="Q162" s="1693"/>
      <c r="R162" s="1693"/>
      <c r="S162" s="478"/>
    </row>
    <row r="163" spans="2:19" s="518" customFormat="1" ht="28.5" customHeight="1" thickBot="1">
      <c r="B163" s="883"/>
      <c r="C163" s="1690" t="s">
        <v>1001</v>
      </c>
      <c r="D163" s="1691"/>
      <c r="E163" s="1691"/>
      <c r="F163" s="1691"/>
      <c r="G163" s="1691"/>
      <c r="H163" s="1691"/>
      <c r="I163" s="1691"/>
      <c r="J163" s="1691"/>
      <c r="K163" s="1691"/>
      <c r="L163" s="1691"/>
      <c r="M163" s="1691"/>
      <c r="N163" s="1691"/>
      <c r="O163" s="1691"/>
      <c r="P163" s="1691"/>
      <c r="Q163" s="1691"/>
      <c r="R163" s="1691"/>
      <c r="S163" s="478"/>
    </row>
    <row r="164" spans="2:19" s="518" customFormat="1" ht="17.25" customHeight="1" thickBot="1">
      <c r="B164" s="883"/>
      <c r="C164" s="1692" t="s">
        <v>1129</v>
      </c>
      <c r="D164" s="1693"/>
      <c r="E164" s="1693"/>
      <c r="F164" s="1693"/>
      <c r="G164" s="1693"/>
      <c r="H164" s="1693"/>
      <c r="I164" s="1693"/>
      <c r="J164" s="1693"/>
      <c r="K164" s="1693"/>
      <c r="L164" s="1693"/>
      <c r="M164" s="1693"/>
      <c r="N164" s="1693"/>
      <c r="O164" s="1693"/>
      <c r="P164" s="1693"/>
      <c r="Q164" s="1693"/>
      <c r="R164" s="1693"/>
      <c r="S164" s="478"/>
    </row>
    <row r="165" spans="2:19" s="518" customFormat="1" ht="27" customHeight="1" thickBot="1">
      <c r="B165" s="886"/>
      <c r="C165" s="1683" t="s">
        <v>1130</v>
      </c>
      <c r="D165" s="1684"/>
      <c r="E165" s="1684"/>
      <c r="F165" s="1684"/>
      <c r="G165" s="1684"/>
      <c r="H165" s="1684"/>
      <c r="I165" s="1684"/>
      <c r="J165" s="1684"/>
      <c r="K165" s="1684"/>
      <c r="L165" s="1684"/>
      <c r="M165" s="1684"/>
      <c r="N165" s="1684"/>
      <c r="O165" s="1684"/>
      <c r="P165" s="1684"/>
      <c r="Q165" s="1684"/>
      <c r="R165" s="1684"/>
      <c r="S165" s="478"/>
    </row>
    <row r="166" spans="2:19" s="899" customFormat="1" ht="17.25" customHeight="1" thickBot="1">
      <c r="B166" s="902"/>
      <c r="C166" s="1690" t="s">
        <v>1017</v>
      </c>
      <c r="D166" s="1691"/>
      <c r="E166" s="1691"/>
      <c r="F166" s="1691"/>
      <c r="G166" s="1691"/>
      <c r="H166" s="1691"/>
      <c r="I166" s="1691"/>
      <c r="J166" s="1691"/>
      <c r="K166" s="1691"/>
      <c r="L166" s="1691"/>
      <c r="M166" s="1691"/>
      <c r="N166" s="1691"/>
      <c r="O166" s="1691"/>
      <c r="P166" s="1691"/>
      <c r="Q166" s="1691"/>
      <c r="R166" s="1691"/>
      <c r="S166" s="900"/>
    </row>
    <row r="167" spans="2:19" s="899" customFormat="1" ht="17.25" customHeight="1" thickBot="1">
      <c r="B167" s="903"/>
      <c r="C167" s="1690" t="s">
        <v>1018</v>
      </c>
      <c r="D167" s="1691"/>
      <c r="E167" s="1691"/>
      <c r="F167" s="1691"/>
      <c r="G167" s="1691"/>
      <c r="H167" s="1691"/>
      <c r="I167" s="1691"/>
      <c r="J167" s="1691"/>
      <c r="K167" s="1691"/>
      <c r="L167" s="1691"/>
      <c r="M167" s="1691"/>
      <c r="N167" s="1691"/>
      <c r="O167" s="1691"/>
      <c r="P167" s="1691"/>
      <c r="Q167" s="1691"/>
      <c r="R167" s="1691"/>
      <c r="S167" s="900"/>
    </row>
    <row r="168" spans="2:19" s="899" customFormat="1" ht="17.25" customHeight="1" thickBot="1">
      <c r="B168" s="904"/>
      <c r="C168" s="1683" t="s">
        <v>1132</v>
      </c>
      <c r="D168" s="1684"/>
      <c r="E168" s="1684"/>
      <c r="F168" s="1684"/>
      <c r="G168" s="1684"/>
      <c r="H168" s="1684"/>
      <c r="I168" s="1684"/>
      <c r="J168" s="1684"/>
      <c r="K168" s="1684"/>
      <c r="L168" s="1684"/>
      <c r="M168" s="1684"/>
      <c r="N168" s="1684"/>
      <c r="O168" s="1684"/>
      <c r="P168" s="1684"/>
      <c r="Q168" s="1684"/>
      <c r="R168" s="1684"/>
      <c r="S168" s="900"/>
    </row>
    <row r="169" spans="2:19" s="899" customFormat="1" ht="17.25" customHeight="1" thickBot="1">
      <c r="B169" s="904"/>
      <c r="C169" s="1683" t="s">
        <v>1131</v>
      </c>
      <c r="D169" s="1684"/>
      <c r="E169" s="1684"/>
      <c r="F169" s="1684"/>
      <c r="G169" s="1684"/>
      <c r="H169" s="1684"/>
      <c r="I169" s="1684"/>
      <c r="J169" s="1684"/>
      <c r="K169" s="1684"/>
      <c r="L169" s="1684"/>
      <c r="M169" s="1684"/>
      <c r="N169" s="1684"/>
      <c r="O169" s="1684"/>
      <c r="P169" s="1684"/>
      <c r="Q169" s="1684"/>
      <c r="R169" s="1684"/>
      <c r="S169" s="900"/>
    </row>
    <row r="170" spans="2:19" ht="7.5" customHeight="1">
      <c r="C170" s="518"/>
      <c r="D170" s="518"/>
      <c r="E170" s="518"/>
      <c r="F170" s="518"/>
      <c r="G170" s="518"/>
      <c r="H170" s="518"/>
      <c r="I170" s="519"/>
      <c r="J170" s="519"/>
      <c r="K170" s="519"/>
      <c r="L170" s="519"/>
      <c r="M170" s="519"/>
      <c r="N170" s="519"/>
      <c r="O170" s="519"/>
      <c r="P170" s="519"/>
      <c r="Q170" s="519"/>
      <c r="R170" s="519"/>
    </row>
    <row r="171" spans="2:19" ht="18.75">
      <c r="C171" s="478"/>
      <c r="D171" s="1685" t="s">
        <v>1143</v>
      </c>
      <c r="E171" s="1685"/>
      <c r="F171" s="1685"/>
      <c r="G171" s="1685"/>
      <c r="H171" s="1685"/>
      <c r="I171" s="1685"/>
      <c r="J171" s="519"/>
      <c r="K171" s="519"/>
      <c r="L171" s="519"/>
      <c r="M171" s="519"/>
      <c r="N171" s="519"/>
      <c r="O171" s="519"/>
      <c r="P171" s="519"/>
      <c r="Q171" s="519"/>
      <c r="R171" s="519"/>
    </row>
    <row r="172" spans="2:19" ht="26.25" customHeight="1">
      <c r="C172" s="1686" t="s">
        <v>1267</v>
      </c>
      <c r="D172" s="1686"/>
      <c r="E172" s="1686"/>
      <c r="F172" s="1686"/>
      <c r="G172" s="1686"/>
      <c r="H172" s="1686"/>
      <c r="I172" s="1686"/>
      <c r="J172" s="1686"/>
      <c r="K172" s="1686"/>
      <c r="L172" s="1686"/>
      <c r="M172" s="1686"/>
      <c r="N172" s="1686"/>
      <c r="O172" s="1686"/>
      <c r="P172" s="1686"/>
      <c r="Q172" s="1686"/>
      <c r="R172" s="1686"/>
    </row>
  </sheetData>
  <sheetProtection password="C9A3" sheet="1" objects="1" scenarios="1" selectLockedCells="1"/>
  <mergeCells count="169">
    <mergeCell ref="K1:R1"/>
    <mergeCell ref="O2:R2"/>
    <mergeCell ref="D16:E16"/>
    <mergeCell ref="C18:E18"/>
    <mergeCell ref="D22:E22"/>
    <mergeCell ref="F22:G22"/>
    <mergeCell ref="H22:L22"/>
    <mergeCell ref="D20:E20"/>
    <mergeCell ref="J7:K7"/>
    <mergeCell ref="H20:J20"/>
    <mergeCell ref="O22:P22"/>
    <mergeCell ref="M22:N22"/>
    <mergeCell ref="F16:N16"/>
    <mergeCell ref="Q22:R22"/>
    <mergeCell ref="F20:G20"/>
    <mergeCell ref="F18:G18"/>
    <mergeCell ref="K20:M20"/>
    <mergeCell ref="N20:Q20"/>
    <mergeCell ref="C6:D8"/>
    <mergeCell ref="C79:R79"/>
    <mergeCell ref="D38:R38"/>
    <mergeCell ref="D39:F39"/>
    <mergeCell ref="C40:H42"/>
    <mergeCell ref="C43:R43"/>
    <mergeCell ref="D44:R44"/>
    <mergeCell ref="D45:G45"/>
    <mergeCell ref="C51:R51"/>
    <mergeCell ref="C55:E55"/>
    <mergeCell ref="F55:O55"/>
    <mergeCell ref="C60:R60"/>
    <mergeCell ref="C68:R68"/>
    <mergeCell ref="C77:R77"/>
    <mergeCell ref="C69:R69"/>
    <mergeCell ref="C76:R76"/>
    <mergeCell ref="C73:F73"/>
    <mergeCell ref="C74:R74"/>
    <mergeCell ref="J27:N27"/>
    <mergeCell ref="O27:R27"/>
    <mergeCell ref="J29:N29"/>
    <mergeCell ref="D25:G25"/>
    <mergeCell ref="C59:R59"/>
    <mergeCell ref="C58:R58"/>
    <mergeCell ref="C57:R57"/>
    <mergeCell ref="C56:R56"/>
    <mergeCell ref="C78:R78"/>
    <mergeCell ref="C62:R62"/>
    <mergeCell ref="C61:R61"/>
    <mergeCell ref="C63:R63"/>
    <mergeCell ref="C64:F64"/>
    <mergeCell ref="C65:R65"/>
    <mergeCell ref="D67:I67"/>
    <mergeCell ref="O29:R29"/>
    <mergeCell ref="D27:F27"/>
    <mergeCell ref="D29:F29"/>
    <mergeCell ref="G27:I27"/>
    <mergeCell ref="G29:I29"/>
    <mergeCell ref="B39:B41"/>
    <mergeCell ref="C37:R37"/>
    <mergeCell ref="C49:R49"/>
    <mergeCell ref="C48:R48"/>
    <mergeCell ref="C47:R47"/>
    <mergeCell ref="C46:R46"/>
    <mergeCell ref="C34:F34"/>
    <mergeCell ref="C54:E54"/>
    <mergeCell ref="C53:E53"/>
    <mergeCell ref="C52:E52"/>
    <mergeCell ref="C50:R50"/>
    <mergeCell ref="F52:O52"/>
    <mergeCell ref="F53:O53"/>
    <mergeCell ref="F54:O54"/>
    <mergeCell ref="D36:F36"/>
    <mergeCell ref="B70:B71"/>
    <mergeCell ref="B72:B73"/>
    <mergeCell ref="C93:R93"/>
    <mergeCell ref="C94:R94"/>
    <mergeCell ref="C98:R98"/>
    <mergeCell ref="C99:R99"/>
    <mergeCell ref="C100:R100"/>
    <mergeCell ref="C89:R89"/>
    <mergeCell ref="C90:R90"/>
    <mergeCell ref="B74:B76"/>
    <mergeCell ref="B81:B83"/>
    <mergeCell ref="C84:R84"/>
    <mergeCell ref="C87:R87"/>
    <mergeCell ref="C88:R88"/>
    <mergeCell ref="C91:R91"/>
    <mergeCell ref="C92:R92"/>
    <mergeCell ref="C75:F75"/>
    <mergeCell ref="C70:R70"/>
    <mergeCell ref="C71:F71"/>
    <mergeCell ref="C72:R72"/>
    <mergeCell ref="D81:I81"/>
    <mergeCell ref="C82:P82"/>
    <mergeCell ref="C83:P83"/>
    <mergeCell ref="C86:R86"/>
    <mergeCell ref="B113:B114"/>
    <mergeCell ref="B115:B116"/>
    <mergeCell ref="C108:R108"/>
    <mergeCell ref="C101:R101"/>
    <mergeCell ref="C95:R95"/>
    <mergeCell ref="D97:I97"/>
    <mergeCell ref="C102:R102"/>
    <mergeCell ref="C103:F103"/>
    <mergeCell ref="C104:R104"/>
    <mergeCell ref="C105:F105"/>
    <mergeCell ref="C106:R106"/>
    <mergeCell ref="C107:F107"/>
    <mergeCell ref="C109:F109"/>
    <mergeCell ref="C110:R110"/>
    <mergeCell ref="C111:F111"/>
    <mergeCell ref="C85:R85"/>
    <mergeCell ref="C142:R142"/>
    <mergeCell ref="C136:R136"/>
    <mergeCell ref="C137:F137"/>
    <mergeCell ref="C138:R138"/>
    <mergeCell ref="C139:F139"/>
    <mergeCell ref="C135:F135"/>
    <mergeCell ref="C112:R112"/>
    <mergeCell ref="C113:R113"/>
    <mergeCell ref="C114:R114"/>
    <mergeCell ref="C115:R115"/>
    <mergeCell ref="C116:R116"/>
    <mergeCell ref="D133:I133"/>
    <mergeCell ref="C134:R134"/>
    <mergeCell ref="B129:B130"/>
    <mergeCell ref="C129:R129"/>
    <mergeCell ref="C130:R130"/>
    <mergeCell ref="C120:R120"/>
    <mergeCell ref="C121:R121"/>
    <mergeCell ref="C122:R122"/>
    <mergeCell ref="C123:R123"/>
    <mergeCell ref="C126:R126"/>
    <mergeCell ref="B127:B128"/>
    <mergeCell ref="C127:R127"/>
    <mergeCell ref="C128:R128"/>
    <mergeCell ref="C162:R162"/>
    <mergeCell ref="C161:R161"/>
    <mergeCell ref="C156:R156"/>
    <mergeCell ref="C157:R157"/>
    <mergeCell ref="C158:R158"/>
    <mergeCell ref="C159:R159"/>
    <mergeCell ref="C160:R160"/>
    <mergeCell ref="C153:R153"/>
    <mergeCell ref="C154:R154"/>
    <mergeCell ref="C155:R155"/>
    <mergeCell ref="C168:R168"/>
    <mergeCell ref="D148:I148"/>
    <mergeCell ref="D171:I171"/>
    <mergeCell ref="C172:R172"/>
    <mergeCell ref="C117:R117"/>
    <mergeCell ref="D119:I119"/>
    <mergeCell ref="C124:R124"/>
    <mergeCell ref="C125:F125"/>
    <mergeCell ref="C131:R131"/>
    <mergeCell ref="C166:R166"/>
    <mergeCell ref="C167:R167"/>
    <mergeCell ref="C169:R169"/>
    <mergeCell ref="C163:R163"/>
    <mergeCell ref="C164:R164"/>
    <mergeCell ref="C165:R165"/>
    <mergeCell ref="C152:R152"/>
    <mergeCell ref="D144:I144"/>
    <mergeCell ref="C145:R145"/>
    <mergeCell ref="C146:R146"/>
    <mergeCell ref="C149:R149"/>
    <mergeCell ref="C150:R150"/>
    <mergeCell ref="C151:R151"/>
    <mergeCell ref="C140:R140"/>
    <mergeCell ref="C141:H141"/>
  </mergeCells>
  <phoneticPr fontId="19" type="noConversion"/>
  <conditionalFormatting sqref="D16:E16">
    <cfRule type="expression" dxfId="385" priority="48">
      <formula>$D$16="Input Project Name:"</formula>
    </cfRule>
  </conditionalFormatting>
  <conditionalFormatting sqref="C18">
    <cfRule type="expression" dxfId="384" priority="282">
      <formula>$C$18="Input AHP Application #:"</formula>
    </cfRule>
  </conditionalFormatting>
  <conditionalFormatting sqref="D20">
    <cfRule type="expression" dxfId="383" priority="707">
      <formula>$F$20="Select Project Type"</formula>
    </cfRule>
  </conditionalFormatting>
  <conditionalFormatting sqref="K20:M20">
    <cfRule type="expression" dxfId="382" priority="708">
      <formula>$F$20&lt;&gt;"Owner-occupied"</formula>
    </cfRule>
  </conditionalFormatting>
  <conditionalFormatting sqref="H20">
    <cfRule type="expression" dxfId="381" priority="709">
      <formula>$F$20&lt;&gt;"Owner-occupied"</formula>
    </cfRule>
  </conditionalFormatting>
  <conditionalFormatting sqref="R20">
    <cfRule type="expression" dxfId="380" priority="8">
      <formula>$F$20&lt;&gt;"Owner-occupied"</formula>
    </cfRule>
  </conditionalFormatting>
  <conditionalFormatting sqref="N20:Q20">
    <cfRule type="expression" dxfId="379" priority="5">
      <formula>$F$20&lt;&gt;"Owner-occupied"</formula>
    </cfRule>
  </conditionalFormatting>
  <conditionalFormatting sqref="D26:R26 D30:R30 D28:R28 D27 D25 H25:R25 O29 D29:G29 J29 O27 G27:J27">
    <cfRule type="expression" dxfId="378" priority="1234">
      <formula>$F$20="Select Project Type"</formula>
    </cfRule>
  </conditionalFormatting>
  <conditionalFormatting sqref="I7">
    <cfRule type="expression" dxfId="377" priority="1241">
      <formula>$F$20="Owner-occupied"</formula>
    </cfRule>
    <cfRule type="expression" dxfId="376" priority="1242">
      <formula>$F$22="No"</formula>
    </cfRule>
  </conditionalFormatting>
  <conditionalFormatting sqref="M7">
    <cfRule type="expression" dxfId="375" priority="1245">
      <formula>$F$20="Owner-occupied"</formula>
    </cfRule>
    <cfRule type="expression" dxfId="374" priority="1246">
      <formula>$Q$22="No"</formula>
    </cfRule>
  </conditionalFormatting>
  <conditionalFormatting sqref="H20:J20">
    <cfRule type="expression" dxfId="373" priority="1606">
      <formula>$Z$50=1</formula>
    </cfRule>
  </conditionalFormatting>
  <conditionalFormatting sqref="G7:H7">
    <cfRule type="expression" dxfId="372" priority="1607">
      <formula>$V$50&gt;6</formula>
    </cfRule>
  </conditionalFormatting>
  <conditionalFormatting sqref="N20">
    <cfRule type="expression" dxfId="371" priority="1608">
      <formula>$AA$50=1</formula>
    </cfRule>
  </conditionalFormatting>
  <conditionalFormatting sqref="D22">
    <cfRule type="expression" dxfId="370" priority="1609">
      <formula>$F$20&lt;&gt;"Rental"</formula>
    </cfRule>
    <cfRule type="expression" dxfId="369" priority="1610">
      <formula>$W$50=1</formula>
    </cfRule>
  </conditionalFormatting>
  <conditionalFormatting sqref="H22:L22">
    <cfRule type="expression" dxfId="368" priority="1">
      <formula>$X$50=1</formula>
    </cfRule>
  </conditionalFormatting>
  <dataValidations count="6">
    <dataValidation type="list" allowBlank="1" showInputMessage="1" showErrorMessage="1" error="Please select the project type from the dropdown." sqref="F20">
      <formula1>$U$33:$U$35</formula1>
    </dataValidation>
    <dataValidation type="list" allowBlank="1" showInputMessage="1" showErrorMessage="1" error="Please select the project type from the dropdown." sqref="R20 M22:N22">
      <formula1>$U$37:$U$40</formula1>
    </dataValidation>
    <dataValidation type="list" allowBlank="1" showInputMessage="1" showErrorMessage="1" sqref="K20:M20 F22:G22">
      <formula1>$U$46:$U$48</formula1>
    </dataValidation>
    <dataValidation type="list" allowBlank="1" showInputMessage="1" showErrorMessage="1" sqref="Q22:R22">
      <formula1>IF($U$22=1,$U$46:$U$48,"")</formula1>
    </dataValidation>
    <dataValidation type="custom" allowBlank="1" showInputMessage="1" showErrorMessage="1" sqref="E7:N7">
      <formula1>"&lt;0&gt;0"</formula1>
    </dataValidation>
    <dataValidation type="list" allowBlank="1" showInputMessage="1" showErrorMessage="1" sqref="P21:Q21">
      <formula1>$U$6:$U$51</formula1>
    </dataValidation>
  </dataValidations>
  <hyperlinks>
    <hyperlink ref="G7" location="'B-Rent Schedule'!D13" display="'B-Rent Schedule'!D13"/>
    <hyperlink ref="H7" location="'C(1)-Rental Operating ProForma'!L16" display="'C(1)-Rental Operating ProForma'!L16"/>
    <hyperlink ref="I7" location="'C(2)-Commercial ProForma'!K16" display="'C(2)-Commercial ProForma'!K16"/>
    <hyperlink ref="N7" location="'Validation Warnings'!M9" display="'Validation Warnings'!M9"/>
    <hyperlink ref="E7" location="'A(1)-Sources Stmt.'!D19" display="'A(1)-Sources Stmt.'!D19"/>
    <hyperlink ref="F7" location="'A(2)-Uses Statement'!H12" display="'A(2)-Uses Statement'!H12"/>
    <hyperlink ref="J7:K7" location="'E-Feasibility Analysis'!M22" display="'E-Feasibility Analysis'!M22"/>
    <hyperlink ref="M7" location="'F-TIV'!O17" display="'F-TIV'!O17"/>
    <hyperlink ref="L7" location="'E(2)-Sources &amp; Uses Analysis'!G19" display="Sources &amp; Uses Analysis"/>
  </hyperlinks>
  <pageMargins left="0.25" right="0.25" top="1" bottom="1" header="0.5" footer="0.5"/>
  <pageSetup scale="75" fitToHeight="6" orientation="landscape" r:id="rId1"/>
  <headerFooter alignWithMargins="0"/>
  <rowBreaks count="4" manualBreakCount="4">
    <brk id="65" max="17" man="1"/>
    <brk id="95" max="17" man="1"/>
    <brk id="117" max="17" man="1"/>
    <brk id="131" max="17" man="1"/>
  </rowBreaks>
  <colBreaks count="1" manualBreakCount="1">
    <brk id="18"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CL112"/>
  <sheetViews>
    <sheetView showGridLines="0" zoomScale="90" zoomScaleNormal="90" zoomScaleSheetLayoutView="70" zoomScalePageLayoutView="70" workbookViewId="0">
      <selection activeCell="D19" sqref="D19:E19"/>
    </sheetView>
  </sheetViews>
  <sheetFormatPr defaultColWidth="9.140625" defaultRowHeight="12.75"/>
  <cols>
    <col min="1" max="1" width="0.7109375" style="15" customWidth="1"/>
    <col min="2" max="2" width="0.140625" style="15" customWidth="1"/>
    <col min="3" max="3" width="3" style="91" bestFit="1" customWidth="1"/>
    <col min="4" max="4" width="13.85546875" style="15" customWidth="1"/>
    <col min="5" max="5" width="21.28515625" style="15" customWidth="1"/>
    <col min="6" max="6" width="14.5703125" style="15" customWidth="1"/>
    <col min="7" max="7" width="18.5703125" style="15" customWidth="1"/>
    <col min="8" max="8" width="22.5703125" style="15" customWidth="1"/>
    <col min="9" max="10" width="12.28515625" style="15" customWidth="1"/>
    <col min="11" max="11" width="15.85546875" style="15" customWidth="1"/>
    <col min="12" max="13" width="9.7109375" style="15" customWidth="1"/>
    <col min="14" max="14" width="12.28515625" style="15" customWidth="1"/>
    <col min="15" max="15" width="12.140625" style="15" customWidth="1"/>
    <col min="16" max="16" width="14.28515625" style="15" customWidth="1"/>
    <col min="17" max="17" width="15.5703125" style="15" customWidth="1"/>
    <col min="18" max="18" width="2.7109375" style="15" customWidth="1"/>
    <col min="19" max="20" width="2.7109375" style="15" hidden="1" customWidth="1"/>
    <col min="21" max="21" width="4.140625" style="15" hidden="1" customWidth="1"/>
    <col min="22" max="22" width="7.85546875" style="15" hidden="1" customWidth="1"/>
    <col min="23" max="23" width="2" style="40" hidden="1" customWidth="1"/>
    <col min="24" max="24" width="12.42578125" style="40" hidden="1" customWidth="1"/>
    <col min="25" max="25" width="11.7109375" style="40" hidden="1" customWidth="1"/>
    <col min="26" max="32" width="1.85546875" style="40" hidden="1" customWidth="1"/>
    <col min="33" max="33" width="3.5703125" style="40" hidden="1" customWidth="1"/>
    <col min="34" max="34" width="1.85546875" style="40" hidden="1" customWidth="1"/>
    <col min="35" max="35" width="14.28515625" style="40" hidden="1" customWidth="1"/>
    <col min="36" max="36" width="15.5703125" style="40" hidden="1" customWidth="1"/>
    <col min="37" max="37" width="22.5703125" style="40" hidden="1" customWidth="1"/>
    <col min="38" max="39" width="22.42578125" style="40" hidden="1" customWidth="1"/>
    <col min="40" max="40" width="13.7109375" style="40" hidden="1" customWidth="1"/>
    <col min="41" max="41" width="23.42578125" style="40" hidden="1" customWidth="1"/>
    <col min="42" max="42" width="18.7109375" style="40" hidden="1" customWidth="1"/>
    <col min="43" max="43" width="9.7109375" style="40" hidden="1" customWidth="1"/>
    <col min="44" max="44" width="13.7109375" style="40" hidden="1" customWidth="1"/>
    <col min="45" max="45" width="17.42578125" style="40" hidden="1" customWidth="1"/>
    <col min="46" max="64" width="9.140625" style="40" hidden="1" customWidth="1"/>
    <col min="65" max="90" width="9.140625" style="15" hidden="1" customWidth="1"/>
    <col min="91" max="114" width="9.140625" style="15" customWidth="1"/>
    <col min="115" max="16384" width="9.140625" style="15"/>
  </cols>
  <sheetData>
    <row r="1" spans="1:64" ht="15" customHeight="1">
      <c r="I1" s="1823" t="s">
        <v>816</v>
      </c>
      <c r="J1" s="1823"/>
      <c r="K1" s="1823"/>
      <c r="L1" s="1823"/>
      <c r="M1" s="1823"/>
      <c r="N1" s="1823"/>
      <c r="O1" s="1823"/>
      <c r="P1" s="1823"/>
      <c r="Q1" s="1823"/>
    </row>
    <row r="2" spans="1:64" ht="13.5" customHeight="1">
      <c r="I2" s="179"/>
      <c r="J2" s="179"/>
      <c r="K2" s="179"/>
      <c r="L2" s="179"/>
      <c r="M2" s="179"/>
      <c r="N2" s="1822" t="str">
        <f>'Project Info and Instructions'!O2</f>
        <v>Updated January 2018</v>
      </c>
      <c r="O2" s="1822"/>
      <c r="P2" s="1822"/>
      <c r="Q2" s="1822"/>
    </row>
    <row r="3" spans="1:64" ht="6.75" customHeight="1">
      <c r="C3" s="89"/>
      <c r="D3" s="49"/>
      <c r="E3" s="49"/>
      <c r="O3" s="1827"/>
      <c r="P3" s="1827"/>
      <c r="Z3" s="278"/>
      <c r="AA3" s="278"/>
      <c r="AB3" s="278"/>
      <c r="AC3" s="278"/>
      <c r="AD3" s="278"/>
      <c r="AE3" s="278"/>
      <c r="AF3" s="278"/>
      <c r="AG3" s="278"/>
      <c r="AH3" s="278"/>
      <c r="AK3" s="534">
        <f>'Project Info and Instructions'!G18</f>
        <v>0</v>
      </c>
    </row>
    <row r="4" spans="1:64" ht="15" customHeight="1">
      <c r="C4" s="89"/>
      <c r="D4" s="13"/>
      <c r="E4" s="13"/>
      <c r="H4" s="1828" t="str">
        <f>IF('Project Info and Instructions'!W35&gt;0,"Input the project name and AHP Project Number at the top of the 'Instructions' tab.",'Project Info and Instructions'!F18&amp;" - "&amp;'Project Info and Instructions'!F16)</f>
        <v>Input the project name and AHP Project Number at the top of the 'Instructions' tab.</v>
      </c>
      <c r="I4" s="1828"/>
      <c r="J4" s="1828"/>
      <c r="K4" s="1828"/>
      <c r="L4" s="1828"/>
      <c r="M4" s="1828"/>
      <c r="N4" s="1828"/>
      <c r="O4" s="1828"/>
      <c r="P4" s="1828"/>
      <c r="Q4" s="1828"/>
      <c r="AI4" s="8"/>
      <c r="AJ4" s="8"/>
      <c r="AK4" s="376">
        <f>'Project Info and Instructions'!G16</f>
        <v>0</v>
      </c>
      <c r="AL4" s="8"/>
      <c r="AM4" s="8"/>
      <c r="AN4" s="8"/>
      <c r="AO4" s="8"/>
      <c r="AP4" s="8"/>
      <c r="AQ4" s="8"/>
      <c r="AR4" s="8"/>
      <c r="AS4" s="8"/>
      <c r="AT4" s="8"/>
      <c r="AU4" s="8"/>
      <c r="AV4" s="8"/>
      <c r="AW4" s="8"/>
      <c r="AX4" s="8"/>
      <c r="AY4" s="8"/>
      <c r="AZ4" s="8"/>
      <c r="BA4" s="8"/>
      <c r="BB4" s="8"/>
      <c r="BC4" s="8"/>
    </row>
    <row r="5" spans="1:64" ht="7.5" customHeight="1">
      <c r="C5" s="89"/>
      <c r="D5" s="13"/>
      <c r="E5" s="13"/>
      <c r="Q5" s="115"/>
      <c r="AI5" s="8"/>
      <c r="AJ5" s="8"/>
      <c r="AK5" s="376"/>
      <c r="AL5" s="8"/>
      <c r="AM5" s="8"/>
      <c r="AN5" s="8"/>
      <c r="AO5" s="8"/>
      <c r="AP5" s="8"/>
      <c r="AQ5" s="8"/>
      <c r="AR5" s="8"/>
      <c r="AS5" s="8"/>
      <c r="AT5" s="8"/>
      <c r="AU5" s="8"/>
      <c r="AV5" s="8"/>
      <c r="AW5" s="8"/>
      <c r="AX5" s="8"/>
      <c r="AY5" s="8"/>
      <c r="AZ5" s="8"/>
      <c r="BA5" s="8"/>
      <c r="BB5" s="8"/>
      <c r="BC5" s="8"/>
    </row>
    <row r="6" spans="1:64" ht="30.75" customHeight="1">
      <c r="D6" s="1170"/>
      <c r="E6" s="1170"/>
      <c r="F6" s="1170"/>
      <c r="G6" s="1170"/>
      <c r="H6" s="1170"/>
      <c r="I6" s="1170"/>
      <c r="J6" s="1170"/>
      <c r="K6" s="1170"/>
      <c r="L6" s="1170"/>
      <c r="M6" s="1170"/>
      <c r="Q6" s="115"/>
      <c r="AI6" s="8"/>
      <c r="AJ6" s="8"/>
      <c r="AK6" s="376"/>
      <c r="AL6" s="8"/>
      <c r="AM6" s="8"/>
      <c r="AN6" s="8"/>
      <c r="AO6" s="8"/>
      <c r="AP6" s="8"/>
      <c r="AQ6" s="8"/>
      <c r="AR6" s="8"/>
      <c r="AS6" s="8"/>
      <c r="AT6" s="8"/>
      <c r="AU6" s="8"/>
      <c r="AV6" s="8"/>
      <c r="AW6" s="8"/>
      <c r="AX6" s="8"/>
      <c r="AY6" s="8"/>
      <c r="AZ6" s="8"/>
      <c r="BA6" s="8"/>
      <c r="BB6" s="8"/>
      <c r="BC6" s="8"/>
    </row>
    <row r="7" spans="1:64" ht="7.5" customHeight="1">
      <c r="N7" s="1310"/>
      <c r="Q7" s="13"/>
      <c r="R7" s="13"/>
      <c r="S7" s="13"/>
      <c r="T7" s="13"/>
      <c r="U7" s="13"/>
      <c r="V7" s="13"/>
      <c r="W7" s="10"/>
      <c r="X7" s="540"/>
      <c r="AI7" s="8"/>
      <c r="AK7" s="8"/>
      <c r="AL7" s="8"/>
      <c r="AM7" s="8"/>
      <c r="AN7" s="8"/>
      <c r="AO7" s="8"/>
      <c r="AP7" s="8"/>
      <c r="AQ7" s="8"/>
      <c r="AR7" s="8"/>
      <c r="AS7" s="8"/>
      <c r="AT7" s="8"/>
      <c r="AU7" s="8"/>
      <c r="AV7" s="8"/>
      <c r="AW7" s="8"/>
      <c r="AX7" s="8"/>
      <c r="AY7" s="8"/>
      <c r="AZ7" s="8"/>
      <c r="BA7" s="8"/>
      <c r="BB7" s="8"/>
      <c r="BC7" s="8"/>
    </row>
    <row r="8" spans="1:64" ht="3.75" customHeight="1">
      <c r="D8" s="648"/>
      <c r="E8" s="1829" t="s">
        <v>838</v>
      </c>
      <c r="F8" s="479"/>
      <c r="G8" s="479"/>
      <c r="H8" s="479"/>
      <c r="I8" s="479"/>
      <c r="J8" s="479"/>
      <c r="K8" s="480"/>
      <c r="L8" s="479"/>
      <c r="M8" s="479"/>
      <c r="N8" s="1310"/>
      <c r="P8" s="481"/>
      <c r="Q8" s="13"/>
      <c r="R8" s="13"/>
      <c r="S8" s="13"/>
      <c r="T8" s="13"/>
      <c r="U8" s="13"/>
      <c r="V8" s="13"/>
      <c r="W8" s="10"/>
      <c r="X8" s="172"/>
      <c r="Y8" s="535"/>
      <c r="Z8" s="172"/>
      <c r="AA8" s="172"/>
      <c r="AB8" s="172"/>
      <c r="AC8" s="172"/>
      <c r="AD8" s="172"/>
      <c r="AE8" s="172"/>
      <c r="AF8" s="172"/>
      <c r="AG8" s="172"/>
      <c r="AI8" s="8"/>
      <c r="AK8" s="8"/>
      <c r="AL8" s="8"/>
      <c r="AM8" s="8"/>
      <c r="AN8" s="8"/>
      <c r="AO8" s="8"/>
      <c r="AP8" s="8"/>
      <c r="AQ8" s="8"/>
      <c r="AR8" s="8"/>
      <c r="AS8" s="8"/>
      <c r="AT8" s="8"/>
      <c r="AU8" s="8"/>
      <c r="AV8" s="8"/>
      <c r="AW8" s="8"/>
      <c r="AX8" s="8"/>
      <c r="AY8" s="8"/>
      <c r="AZ8" s="8"/>
      <c r="BA8" s="8"/>
      <c r="BB8" s="8"/>
      <c r="BC8" s="8"/>
    </row>
    <row r="9" spans="1:64" s="449" customFormat="1" ht="36.75" customHeight="1">
      <c r="B9" s="649"/>
      <c r="C9" s="1824" t="s">
        <v>937</v>
      </c>
      <c r="D9" s="1824"/>
      <c r="E9" s="1830"/>
      <c r="F9" s="806" t="s">
        <v>832</v>
      </c>
      <c r="G9" s="1299" t="s">
        <v>833</v>
      </c>
      <c r="H9" s="804" t="s">
        <v>852</v>
      </c>
      <c r="I9" s="1773" t="s">
        <v>834</v>
      </c>
      <c r="J9" s="1774"/>
      <c r="K9" s="1301" t="s">
        <v>836</v>
      </c>
      <c r="L9" s="1773" t="s">
        <v>1171</v>
      </c>
      <c r="M9" s="1774"/>
      <c r="N9" s="1773" t="s">
        <v>853</v>
      </c>
      <c r="O9" s="1774"/>
      <c r="P9" s="1301" t="s">
        <v>855</v>
      </c>
      <c r="R9" s="418"/>
      <c r="S9" s="531"/>
      <c r="T9" s="531"/>
      <c r="U9" s="531"/>
      <c r="V9" s="531"/>
      <c r="W9" s="531"/>
      <c r="X9" s="610"/>
      <c r="Y9" s="817">
        <f>MAX(O35:O49,O59:O72)</f>
        <v>0</v>
      </c>
      <c r="Z9" s="536"/>
      <c r="AA9" s="536"/>
      <c r="AB9" s="536"/>
      <c r="AC9" s="536"/>
      <c r="AD9" s="536"/>
      <c r="AE9" s="536"/>
      <c r="AF9" s="536"/>
      <c r="AG9" s="536"/>
      <c r="AH9" s="536"/>
      <c r="AI9" s="537"/>
      <c r="AJ9" s="538"/>
      <c r="AK9" s="537" t="str">
        <f>IF('Project Info and Instructions'!F20="Select Project Type","",'Project Info and Instructions'!F20)</f>
        <v>Rental</v>
      </c>
      <c r="AL9" s="537"/>
      <c r="AM9" s="537"/>
      <c r="AN9" s="537"/>
      <c r="AO9" s="537"/>
      <c r="AP9" s="537"/>
      <c r="AQ9" s="537"/>
      <c r="AR9" s="537"/>
      <c r="AS9" s="537"/>
      <c r="AT9" s="537"/>
      <c r="AU9" s="537"/>
      <c r="AV9" s="537"/>
      <c r="AW9" s="537"/>
      <c r="AX9" s="537"/>
      <c r="AY9" s="537"/>
      <c r="AZ9" s="537"/>
      <c r="BA9" s="537"/>
      <c r="BB9" s="537"/>
      <c r="BC9" s="537"/>
      <c r="BD9" s="538"/>
      <c r="BE9" s="538"/>
      <c r="BF9" s="538"/>
      <c r="BG9" s="538"/>
      <c r="BH9" s="538"/>
      <c r="BI9" s="538"/>
      <c r="BJ9" s="538"/>
      <c r="BK9" s="538"/>
      <c r="BL9" s="538"/>
    </row>
    <row r="10" spans="1:64" s="117" customFormat="1" ht="3" customHeight="1">
      <c r="A10" s="116"/>
      <c r="B10" s="208"/>
      <c r="C10" s="650"/>
      <c r="D10" s="651"/>
      <c r="E10" s="1830"/>
      <c r="F10" s="482"/>
      <c r="G10" s="482"/>
      <c r="H10" s="482"/>
      <c r="I10" s="482"/>
      <c r="J10" s="482"/>
      <c r="K10" s="483"/>
      <c r="L10" s="482"/>
      <c r="M10" s="484"/>
      <c r="N10" s="484"/>
      <c r="O10" s="484"/>
      <c r="P10" s="484"/>
      <c r="Q10" s="484"/>
      <c r="R10" s="441"/>
      <c r="S10" s="441"/>
      <c r="T10" s="441"/>
      <c r="U10" s="441"/>
      <c r="V10" s="441"/>
      <c r="W10" s="539"/>
      <c r="X10" s="539"/>
      <c r="Y10" s="539"/>
      <c r="Z10" s="433"/>
      <c r="AA10" s="433"/>
      <c r="AB10" s="433"/>
      <c r="AC10" s="433"/>
      <c r="AD10" s="433"/>
      <c r="AE10" s="433"/>
      <c r="AF10" s="433"/>
      <c r="AG10" s="433"/>
      <c r="AH10" s="362"/>
      <c r="AI10" s="472"/>
      <c r="AJ10" s="362"/>
      <c r="AK10" s="472"/>
      <c r="AL10" s="472"/>
      <c r="AM10" s="472"/>
      <c r="AN10" s="472"/>
      <c r="AO10" s="472"/>
      <c r="AP10" s="472"/>
      <c r="AQ10" s="472"/>
      <c r="AR10" s="472"/>
      <c r="AS10" s="472"/>
      <c r="AT10" s="472"/>
      <c r="AU10" s="472"/>
      <c r="AV10" s="472"/>
      <c r="AW10" s="472"/>
      <c r="AX10" s="472"/>
      <c r="AY10" s="472"/>
      <c r="AZ10" s="472"/>
      <c r="BA10" s="472"/>
      <c r="BB10" s="472"/>
      <c r="BC10" s="472"/>
      <c r="BD10" s="362"/>
      <c r="BE10" s="362"/>
      <c r="BF10" s="362"/>
      <c r="BG10" s="362"/>
      <c r="BH10" s="362"/>
      <c r="BI10" s="362"/>
      <c r="BJ10" s="362"/>
      <c r="BK10" s="362"/>
      <c r="BL10" s="362"/>
    </row>
    <row r="11" spans="1:64" s="40" customFormat="1" ht="6" customHeight="1">
      <c r="A11" s="172"/>
      <c r="B11" s="172"/>
      <c r="C11" s="581"/>
      <c r="Z11" s="172"/>
      <c r="AA11" s="172"/>
      <c r="AB11" s="172"/>
      <c r="AC11" s="172"/>
      <c r="AD11" s="172"/>
      <c r="AE11" s="172"/>
      <c r="AF11" s="172"/>
      <c r="AG11" s="172"/>
      <c r="AH11" s="172"/>
      <c r="AI11" s="8"/>
      <c r="AU11" s="8"/>
      <c r="AV11" s="8"/>
      <c r="AW11" s="8"/>
      <c r="AX11" s="8"/>
      <c r="AY11" s="8"/>
      <c r="AZ11" s="8"/>
      <c r="BA11" s="8"/>
      <c r="BB11" s="8"/>
      <c r="BC11" s="8"/>
    </row>
    <row r="12" spans="1:64" ht="22.5" customHeight="1">
      <c r="A12" s="49"/>
      <c r="B12" s="49"/>
      <c r="C12" s="1811" t="s">
        <v>813</v>
      </c>
      <c r="D12" s="1812"/>
      <c r="E12" s="1812"/>
      <c r="F12" s="1812"/>
      <c r="G12" s="1812"/>
      <c r="H12" s="1812"/>
      <c r="I12" s="1812"/>
      <c r="J12" s="1812"/>
      <c r="K12" s="1812"/>
      <c r="L12" s="1812"/>
      <c r="M12" s="1812"/>
      <c r="N12" s="1812"/>
      <c r="O12" s="1812"/>
      <c r="P12" s="1812"/>
      <c r="Q12" s="1813"/>
      <c r="R12" s="434"/>
      <c r="S12" s="434"/>
      <c r="T12" s="434"/>
      <c r="U12" s="434"/>
      <c r="V12" s="434"/>
      <c r="W12" s="434"/>
      <c r="X12" s="434"/>
      <c r="Y12" s="718">
        <v>1</v>
      </c>
      <c r="Z12" s="540"/>
      <c r="AA12" s="540"/>
      <c r="AB12" s="540"/>
      <c r="AC12" s="540"/>
      <c r="AE12" s="540"/>
      <c r="AF12" s="540"/>
      <c r="AG12" s="540"/>
      <c r="AH12" s="540"/>
      <c r="AN12" s="59"/>
      <c r="AO12" s="59"/>
      <c r="AP12" s="59"/>
      <c r="AQ12" s="59"/>
      <c r="AV12" s="70">
        <f>IF(D35&lt;&gt;"",D35,AZ12)</f>
        <v>1</v>
      </c>
      <c r="AW12" s="70" t="str">
        <f>IF(D35&lt;&gt;"",D35,BA12)</f>
        <v>A</v>
      </c>
      <c r="AX12" s="41">
        <f>COUNTIF($AV$12:$AV$26,AW12)</f>
        <v>0</v>
      </c>
      <c r="AZ12" s="40">
        <v>1</v>
      </c>
      <c r="BA12" s="40" t="s">
        <v>20</v>
      </c>
    </row>
    <row r="13" spans="1:64" ht="6" customHeight="1">
      <c r="A13" s="49"/>
      <c r="B13" s="49"/>
      <c r="C13" s="109"/>
      <c r="D13" s="109"/>
      <c r="E13" s="109"/>
      <c r="I13" s="109"/>
      <c r="J13" s="109"/>
      <c r="K13" s="109"/>
      <c r="L13" s="109"/>
      <c r="M13" s="109"/>
      <c r="N13" s="109"/>
      <c r="O13" s="109"/>
      <c r="P13" s="109"/>
      <c r="Q13" s="109"/>
      <c r="Z13" s="172"/>
      <c r="AA13" s="172"/>
      <c r="AB13" s="172"/>
      <c r="AC13" s="172"/>
      <c r="AD13" s="172"/>
      <c r="AE13" s="172"/>
      <c r="AF13" s="172"/>
      <c r="AG13" s="172"/>
      <c r="AH13" s="172"/>
      <c r="AV13" s="70">
        <f t="shared" ref="AV13:AV26" si="0">IF(D36&lt;&gt;"",D36,AZ13)</f>
        <v>2</v>
      </c>
      <c r="AW13" s="70" t="str">
        <f t="shared" ref="AW13:AW26" si="1">IF(D36&lt;&gt;"",D36,BA13)</f>
        <v>B</v>
      </c>
      <c r="AX13" s="41">
        <f t="shared" ref="AX13:AX26" si="2">COUNTIF($AV$12:$AV$26,AW13)</f>
        <v>0</v>
      </c>
      <c r="AZ13" s="40">
        <v>2</v>
      </c>
      <c r="BA13" s="40" t="s">
        <v>21</v>
      </c>
    </row>
    <row r="14" spans="1:64" ht="3.75" customHeight="1">
      <c r="A14" s="49"/>
      <c r="B14" s="49"/>
      <c r="C14" s="15"/>
      <c r="F14" s="226"/>
      <c r="G14" s="226"/>
      <c r="Q14" s="49"/>
      <c r="R14" s="49"/>
      <c r="S14" s="49"/>
      <c r="T14" s="49"/>
      <c r="U14" s="49"/>
      <c r="V14" s="49"/>
      <c r="W14" s="172"/>
      <c r="X14" s="172"/>
      <c r="Y14" s="172"/>
      <c r="Z14" s="172"/>
      <c r="AA14" s="172"/>
      <c r="AB14" s="172"/>
      <c r="AC14" s="172"/>
      <c r="AD14" s="172"/>
      <c r="AE14" s="172"/>
      <c r="AF14" s="172"/>
      <c r="AG14" s="172"/>
      <c r="AH14" s="172"/>
      <c r="AV14" s="70">
        <f t="shared" si="0"/>
        <v>3</v>
      </c>
      <c r="AW14" s="70" t="str">
        <f t="shared" si="1"/>
        <v>C</v>
      </c>
      <c r="AX14" s="41">
        <f t="shared" si="2"/>
        <v>0</v>
      </c>
      <c r="AZ14" s="956">
        <v>3</v>
      </c>
      <c r="BA14" s="956" t="s">
        <v>23</v>
      </c>
    </row>
    <row r="15" spans="1:64" ht="13.5" customHeight="1">
      <c r="A15" s="49"/>
      <c r="B15" s="49"/>
      <c r="C15" s="1796" t="s">
        <v>673</v>
      </c>
      <c r="D15" s="1797"/>
      <c r="E15" s="1212" t="str">
        <f>IF('Project Info and Instructions'!F20="Select Project Type","",'Project Info and Instructions'!F20)</f>
        <v>Rental</v>
      </c>
      <c r="F15" s="1798" t="s">
        <v>670</v>
      </c>
      <c r="G15" s="1799"/>
      <c r="H15" s="1237" t="str">
        <f>IF('Project Info and Instructions'!K20="Select 'Yes' or 'No'","Not indicated",'Project Info and Instructions'!K20)</f>
        <v>Not indicated</v>
      </c>
      <c r="I15" s="1213"/>
      <c r="J15" s="49"/>
      <c r="K15" s="1826" t="s">
        <v>704</v>
      </c>
      <c r="L15" s="1826"/>
      <c r="M15" s="1826"/>
      <c r="N15" s="1826"/>
      <c r="O15" s="1826"/>
      <c r="P15" s="1211" t="str">
        <f>IFERROR(AJ17/F50,"0%")</f>
        <v>0%</v>
      </c>
      <c r="Q15" s="127"/>
      <c r="R15" s="127"/>
      <c r="S15" s="127"/>
      <c r="T15" s="127"/>
      <c r="U15" s="127"/>
      <c r="V15" s="127"/>
      <c r="W15" s="168"/>
      <c r="X15" s="168"/>
      <c r="Y15" s="541">
        <v>72686</v>
      </c>
      <c r="Z15" s="540"/>
      <c r="AA15" s="540"/>
      <c r="AB15" s="540"/>
      <c r="AC15" s="540"/>
      <c r="AD15" s="540"/>
      <c r="AE15" s="540"/>
      <c r="AF15" s="540"/>
      <c r="AG15" s="540"/>
      <c r="AH15" s="540"/>
      <c r="AN15" s="59"/>
      <c r="AO15" s="59"/>
      <c r="AP15" s="59"/>
      <c r="AQ15" s="59"/>
      <c r="AV15" s="70">
        <f t="shared" si="0"/>
        <v>4</v>
      </c>
      <c r="AW15" s="70" t="str">
        <f t="shared" si="1"/>
        <v>D</v>
      </c>
      <c r="AX15" s="41">
        <f t="shared" si="2"/>
        <v>0</v>
      </c>
      <c r="AZ15" s="956">
        <v>4</v>
      </c>
      <c r="BA15" s="956" t="s">
        <v>24</v>
      </c>
    </row>
    <row r="16" spans="1:64" s="40" customFormat="1" ht="18" customHeight="1">
      <c r="A16" s="172"/>
      <c r="B16" s="172"/>
      <c r="C16" s="1805" t="str">
        <f>IF(E15="","Select project type on the 'Instructions' tab.","")</f>
        <v/>
      </c>
      <c r="D16" s="1805"/>
      <c r="E16" s="1805"/>
      <c r="F16" s="809"/>
      <c r="G16" s="809"/>
      <c r="K16" s="1825" t="s">
        <v>1271</v>
      </c>
      <c r="L16" s="1825"/>
      <c r="M16" s="1825"/>
      <c r="N16" s="1825"/>
      <c r="O16" s="1825"/>
      <c r="P16" s="1825"/>
      <c r="Q16" s="433"/>
      <c r="R16" s="433"/>
      <c r="S16" s="433"/>
      <c r="T16" s="433"/>
      <c r="U16" s="433"/>
      <c r="V16" s="433"/>
      <c r="W16" s="433"/>
      <c r="X16" s="433"/>
      <c r="Y16" s="542">
        <f ca="1">TODAY()</f>
        <v>43108</v>
      </c>
      <c r="Z16" s="172"/>
      <c r="AA16" s="172"/>
      <c r="AB16" s="172"/>
      <c r="AC16" s="172"/>
      <c r="AD16" s="172"/>
      <c r="AE16" s="172"/>
      <c r="AF16" s="172"/>
      <c r="AG16" s="172"/>
      <c r="AH16" s="172"/>
      <c r="AI16" s="8"/>
      <c r="AN16" s="59"/>
      <c r="AO16" s="59"/>
      <c r="AP16" s="59"/>
      <c r="AQ16" s="59"/>
      <c r="AU16" s="8"/>
      <c r="AV16" s="70">
        <f t="shared" si="0"/>
        <v>5</v>
      </c>
      <c r="AW16" s="70" t="str">
        <f t="shared" si="1"/>
        <v>E</v>
      </c>
      <c r="AX16" s="41">
        <f t="shared" si="2"/>
        <v>0</v>
      </c>
      <c r="AY16" s="8"/>
      <c r="AZ16" s="956">
        <v>5</v>
      </c>
      <c r="BA16" s="956" t="s">
        <v>26</v>
      </c>
      <c r="BB16" s="8"/>
      <c r="BC16" s="8"/>
    </row>
    <row r="17" spans="1:55" ht="55.5" customHeight="1">
      <c r="A17" s="49"/>
      <c r="B17" s="49"/>
      <c r="C17" s="41"/>
      <c r="D17" s="1801" t="s">
        <v>30</v>
      </c>
      <c r="E17" s="1801"/>
      <c r="F17" s="1564" t="s">
        <v>732</v>
      </c>
      <c r="G17" s="1565" t="s">
        <v>28</v>
      </c>
      <c r="H17" s="1566" t="s">
        <v>91</v>
      </c>
      <c r="I17" s="1565" t="s">
        <v>29</v>
      </c>
      <c r="J17" s="1566" t="s">
        <v>930</v>
      </c>
      <c r="K17" s="1566" t="s">
        <v>948</v>
      </c>
      <c r="L17" s="1566" t="s">
        <v>792</v>
      </c>
      <c r="M17" s="1566" t="s">
        <v>798</v>
      </c>
      <c r="N17" s="1566" t="s">
        <v>1175</v>
      </c>
      <c r="O17" s="1566" t="s">
        <v>922</v>
      </c>
      <c r="P17" s="1566" t="s">
        <v>1174</v>
      </c>
      <c r="Q17" s="1567" t="s">
        <v>1176</v>
      </c>
      <c r="Y17" s="542">
        <v>41853</v>
      </c>
      <c r="Z17" s="172"/>
      <c r="AA17" s="172"/>
      <c r="AB17" s="172"/>
      <c r="AC17" s="172"/>
      <c r="AD17" s="172"/>
      <c r="AE17" s="172"/>
      <c r="AF17" s="172"/>
      <c r="AG17" s="172"/>
      <c r="AH17" s="172"/>
      <c r="AI17" s="8"/>
      <c r="AJ17" s="40">
        <f>SUMIF(I34:I49,"Approved",F34:F49)</f>
        <v>0</v>
      </c>
      <c r="AK17" s="94">
        <f>COUNTIF(E15,"Owner-occupied")</f>
        <v>0</v>
      </c>
      <c r="AL17" s="193">
        <f>COUNTIF(H15,"Yes")</f>
        <v>0</v>
      </c>
      <c r="AM17" s="94">
        <f>SUM(AK17:AL17)</f>
        <v>0</v>
      </c>
      <c r="AU17" s="8"/>
      <c r="AV17" s="70">
        <f t="shared" si="0"/>
        <v>6</v>
      </c>
      <c r="AW17" s="70" t="str">
        <f t="shared" si="1"/>
        <v>F</v>
      </c>
      <c r="AX17" s="41">
        <f t="shared" si="2"/>
        <v>0</v>
      </c>
      <c r="AY17" s="8"/>
      <c r="AZ17" s="956">
        <v>6</v>
      </c>
      <c r="BA17" s="956" t="s">
        <v>1084</v>
      </c>
      <c r="BB17" s="8"/>
      <c r="BC17" s="8"/>
    </row>
    <row r="18" spans="1:55" ht="12.75" customHeight="1">
      <c r="A18" s="49"/>
      <c r="B18" s="49"/>
      <c r="C18" s="40"/>
      <c r="D18" s="1802"/>
      <c r="E18" s="1802"/>
      <c r="F18" s="173"/>
      <c r="G18" s="404"/>
      <c r="H18" s="174"/>
      <c r="I18" s="404"/>
      <c r="J18" s="404"/>
      <c r="K18" s="404"/>
      <c r="L18" s="175"/>
      <c r="M18" s="88"/>
      <c r="N18" s="88"/>
      <c r="O18" s="361"/>
      <c r="P18" s="361"/>
      <c r="Y18" s="542">
        <f ca="1">IF(Y16&lt;Y17,Y16,Y15)</f>
        <v>72686</v>
      </c>
      <c r="Z18" s="172"/>
      <c r="AA18" s="172"/>
      <c r="AB18" s="172"/>
      <c r="AC18" s="172"/>
      <c r="AD18" s="172"/>
      <c r="AE18" s="172"/>
      <c r="AF18" s="172"/>
      <c r="AG18" s="172"/>
      <c r="AH18" s="172"/>
      <c r="AI18" s="8"/>
      <c r="AJ18" s="60"/>
      <c r="AK18" s="41"/>
      <c r="AL18" s="40">
        <f>COUNTIF(E15,"Owner-occupied")</f>
        <v>0</v>
      </c>
      <c r="AM18" s="41"/>
      <c r="AU18" s="8"/>
      <c r="AV18" s="70">
        <f t="shared" si="0"/>
        <v>7</v>
      </c>
      <c r="AW18" s="70" t="str">
        <f t="shared" si="1"/>
        <v>G</v>
      </c>
      <c r="AX18" s="41">
        <f t="shared" si="2"/>
        <v>0</v>
      </c>
      <c r="AY18" s="8"/>
      <c r="AZ18" s="956">
        <v>7</v>
      </c>
      <c r="BA18" s="956" t="s">
        <v>46</v>
      </c>
      <c r="BB18" s="8"/>
      <c r="BC18" s="8"/>
    </row>
    <row r="19" spans="1:55" s="41" customFormat="1" ht="13.5" customHeight="1">
      <c r="A19" s="88"/>
      <c r="B19" s="88"/>
      <c r="C19" s="1568">
        <v>1</v>
      </c>
      <c r="D19" s="1803"/>
      <c r="E19" s="1804"/>
      <c r="F19" s="1066">
        <v>0</v>
      </c>
      <c r="G19" s="1067"/>
      <c r="H19" s="1067"/>
      <c r="I19" s="382"/>
      <c r="J19" s="1068"/>
      <c r="K19" s="1069"/>
      <c r="L19" s="1070"/>
      <c r="M19" s="382"/>
      <c r="N19" s="1071"/>
      <c r="O19" s="1072"/>
      <c r="P19" s="1072"/>
      <c r="Q19" s="1073"/>
      <c r="V19" s="41" t="b">
        <f ca="1">IF(AND(K19&lt;=Y19,I19="Approved"),1,IF(AND(K19&gt;Y19,I19="Proposed"),1,IF(AND(K19&gt;Y19,I19="Requested"),1)))</f>
        <v>0</v>
      </c>
      <c r="X19" s="41">
        <f ca="1">IF(AND(K19&lt;=Y19,I19="Approved"),1,IF(AND(K19&gt;Y19,I19="Proposed"),1,IF(AND(K19&gt;Y19,I19="Requested"),1,IF(AND(I19&lt;&gt;"Approved",I19&lt;&gt;"Requested",I19&lt;&gt;"Proposed",S19=0),1))))</f>
        <v>1</v>
      </c>
      <c r="Y19" s="440">
        <f ca="1">TODAY()</f>
        <v>43108</v>
      </c>
      <c r="Z19" s="88"/>
      <c r="AA19" s="88">
        <f>IF(G19&lt;&gt;"",1,0)</f>
        <v>0</v>
      </c>
      <c r="AB19" s="88">
        <f t="shared" ref="AB19:AB30" si="3">IF(G19&lt;&gt;"Permanent Loan",1,0)</f>
        <v>1</v>
      </c>
      <c r="AC19" s="88">
        <f t="shared" ref="AC19:AC30" si="4">IF(G19&lt;&gt;"Construction Loan",1,0)</f>
        <v>1</v>
      </c>
      <c r="AD19" s="88">
        <f>SUM(AA19:AC19)</f>
        <v>2</v>
      </c>
      <c r="AE19" s="88"/>
      <c r="AF19" s="88">
        <f>IF(I19="",1,0)</f>
        <v>1</v>
      </c>
      <c r="AG19" s="88"/>
      <c r="AH19" s="88"/>
      <c r="AI19" s="19"/>
      <c r="AJ19" s="60"/>
      <c r="AL19" s="70" t="s">
        <v>886</v>
      </c>
      <c r="AM19" s="41">
        <f>COUNTIFS(H15,"Not Indicated",E15,"Owner-occupied")</f>
        <v>0</v>
      </c>
      <c r="AR19" s="70">
        <f>IF(D19&lt;&gt;"",D19,1)</f>
        <v>1</v>
      </c>
      <c r="AS19" s="70" t="str">
        <f>IF(D19&lt;&gt;"",D19,"A")</f>
        <v>A</v>
      </c>
      <c r="AT19" s="41">
        <f>COUNTIF($AR$19:$AR$30,AS19)</f>
        <v>0</v>
      </c>
      <c r="AU19" s="19"/>
      <c r="AV19" s="70">
        <f t="shared" si="0"/>
        <v>8</v>
      </c>
      <c r="AW19" s="70" t="str">
        <f t="shared" si="1"/>
        <v>H</v>
      </c>
      <c r="AX19" s="41">
        <f t="shared" si="2"/>
        <v>0</v>
      </c>
      <c r="AY19" s="19"/>
      <c r="AZ19" s="956">
        <v>8</v>
      </c>
      <c r="BA19" s="956" t="s">
        <v>1085</v>
      </c>
      <c r="BB19" s="19"/>
      <c r="BC19" s="19"/>
    </row>
    <row r="20" spans="1:55" s="41" customFormat="1" ht="13.5" customHeight="1">
      <c r="A20" s="88"/>
      <c r="B20" s="88"/>
      <c r="C20" s="1569">
        <v>2</v>
      </c>
      <c r="D20" s="1803"/>
      <c r="E20" s="1804"/>
      <c r="F20" s="1066">
        <v>0</v>
      </c>
      <c r="G20" s="1067"/>
      <c r="H20" s="1067"/>
      <c r="I20" s="382"/>
      <c r="J20" s="1068"/>
      <c r="K20" s="1069"/>
      <c r="L20" s="1070"/>
      <c r="M20" s="382"/>
      <c r="N20" s="1071"/>
      <c r="O20" s="1072"/>
      <c r="P20" s="1072"/>
      <c r="Q20" s="1073"/>
      <c r="V20" s="41" t="b">
        <f ca="1">IF(S19&lt;&gt;1,IF(AND(K19&lt;=Y19,I19="Approved"),1,IF(AND(K19&gt;Y19,I19="Proposed"),1,IF(AND(K19&gt;Y19,I19="Requested"),1))))</f>
        <v>0</v>
      </c>
      <c r="Y20" s="440">
        <f t="shared" ref="Y20:Y30" ca="1" si="5">TODAY()</f>
        <v>43108</v>
      </c>
      <c r="Z20" s="88"/>
      <c r="AA20" s="88">
        <f t="shared" ref="AA20:AA30" si="6">IF(G20&lt;&gt;"",1,0)</f>
        <v>0</v>
      </c>
      <c r="AB20" s="88">
        <f t="shared" si="3"/>
        <v>1</v>
      </c>
      <c r="AC20" s="88">
        <f t="shared" si="4"/>
        <v>1</v>
      </c>
      <c r="AD20" s="88">
        <f t="shared" ref="AD20:AD30" si="7">SUM(AA20:AC20)</f>
        <v>2</v>
      </c>
      <c r="AE20" s="88"/>
      <c r="AF20" s="88">
        <f t="shared" ref="AF20:AF30" si="8">IF(I20="",1,0)</f>
        <v>1</v>
      </c>
      <c r="AG20" s="88"/>
      <c r="AH20" s="88"/>
      <c r="AI20" s="19"/>
      <c r="AJ20" s="60"/>
      <c r="AL20" s="70" t="s">
        <v>114</v>
      </c>
      <c r="AR20" s="70">
        <f>IF(D20&lt;&gt;"",D20,2)</f>
        <v>2</v>
      </c>
      <c r="AS20" s="70" t="str">
        <f>IF(D20&lt;&gt;"",D20,"B")</f>
        <v>B</v>
      </c>
      <c r="AT20" s="41">
        <f t="shared" ref="AT20:AT30" si="9">COUNTIF($AR$19:$AR$30,AS20)</f>
        <v>0</v>
      </c>
      <c r="AU20" s="19"/>
      <c r="AV20" s="70">
        <f t="shared" si="0"/>
        <v>9</v>
      </c>
      <c r="AW20" s="70" t="str">
        <f t="shared" si="1"/>
        <v>I</v>
      </c>
      <c r="AX20" s="41">
        <f t="shared" si="2"/>
        <v>0</v>
      </c>
      <c r="AY20" s="19"/>
      <c r="AZ20" s="956">
        <v>9</v>
      </c>
      <c r="BA20" s="956" t="s">
        <v>1086</v>
      </c>
      <c r="BB20" s="19"/>
      <c r="BC20" s="19"/>
    </row>
    <row r="21" spans="1:55" s="41" customFormat="1" ht="13.5" customHeight="1">
      <c r="A21" s="88"/>
      <c r="B21" s="88"/>
      <c r="C21" s="1569">
        <v>3</v>
      </c>
      <c r="D21" s="1803"/>
      <c r="E21" s="1804"/>
      <c r="F21" s="1066">
        <v>0</v>
      </c>
      <c r="G21" s="1067"/>
      <c r="H21" s="1067"/>
      <c r="I21" s="382"/>
      <c r="J21" s="1068"/>
      <c r="K21" s="1069"/>
      <c r="L21" s="1070"/>
      <c r="M21" s="382"/>
      <c r="N21" s="1071"/>
      <c r="O21" s="1072"/>
      <c r="P21" s="1072"/>
      <c r="Q21" s="1073"/>
      <c r="V21" s="41" t="b">
        <f ca="1">IF(AND(K19&lt;=Y21,I19="Approved"),1,IF(AND(K19&gt;Y21,I19="Proposed"),1,IF(AND(K19&gt;Y21,I19="Requested"),1)))</f>
        <v>0</v>
      </c>
      <c r="Y21" s="440">
        <f t="shared" ca="1" si="5"/>
        <v>43108</v>
      </c>
      <c r="Z21" s="88"/>
      <c r="AA21" s="88">
        <f t="shared" si="6"/>
        <v>0</v>
      </c>
      <c r="AB21" s="88">
        <f t="shared" si="3"/>
        <v>1</v>
      </c>
      <c r="AC21" s="88">
        <f t="shared" si="4"/>
        <v>1</v>
      </c>
      <c r="AD21" s="88">
        <f t="shared" si="7"/>
        <v>2</v>
      </c>
      <c r="AE21" s="88"/>
      <c r="AF21" s="88">
        <f t="shared" si="8"/>
        <v>1</v>
      </c>
      <c r="AG21" s="88"/>
      <c r="AH21" s="88"/>
      <c r="AI21" s="19"/>
      <c r="AJ21" s="60"/>
      <c r="AL21" s="70" t="s">
        <v>115</v>
      </c>
      <c r="AR21" s="70">
        <f>IF(D21&lt;&gt;"",D21,3)</f>
        <v>3</v>
      </c>
      <c r="AS21" s="70" t="str">
        <f>IF(D21&lt;&gt;"",D21,"C")</f>
        <v>C</v>
      </c>
      <c r="AT21" s="41">
        <f t="shared" si="9"/>
        <v>0</v>
      </c>
      <c r="AU21" s="19"/>
      <c r="AV21" s="70">
        <f t="shared" si="0"/>
        <v>10</v>
      </c>
      <c r="AW21" s="70" t="str">
        <f t="shared" si="1"/>
        <v>J</v>
      </c>
      <c r="AX21" s="41">
        <f t="shared" si="2"/>
        <v>0</v>
      </c>
      <c r="AY21" s="19"/>
      <c r="AZ21" s="956">
        <v>10</v>
      </c>
      <c r="BA21" s="956" t="s">
        <v>1087</v>
      </c>
      <c r="BB21" s="19"/>
      <c r="BC21" s="19"/>
    </row>
    <row r="22" spans="1:55" s="41" customFormat="1" ht="13.5" customHeight="1">
      <c r="A22" s="88"/>
      <c r="B22" s="88"/>
      <c r="C22" s="1569">
        <v>4</v>
      </c>
      <c r="D22" s="1803"/>
      <c r="E22" s="1804"/>
      <c r="F22" s="1066">
        <v>0</v>
      </c>
      <c r="G22" s="1067"/>
      <c r="H22" s="1067"/>
      <c r="I22" s="382"/>
      <c r="J22" s="1068"/>
      <c r="K22" s="1069"/>
      <c r="L22" s="1070"/>
      <c r="M22" s="382"/>
      <c r="N22" s="1071"/>
      <c r="O22" s="1072"/>
      <c r="P22" s="1072"/>
      <c r="Q22" s="1073"/>
      <c r="V22" s="41">
        <f>IF(I20="",1)</f>
        <v>1</v>
      </c>
      <c r="Y22" s="440">
        <f t="shared" ca="1" si="5"/>
        <v>43108</v>
      </c>
      <c r="Z22" s="88"/>
      <c r="AA22" s="88">
        <f t="shared" si="6"/>
        <v>0</v>
      </c>
      <c r="AB22" s="88">
        <f t="shared" si="3"/>
        <v>1</v>
      </c>
      <c r="AC22" s="88">
        <f t="shared" si="4"/>
        <v>1</v>
      </c>
      <c r="AD22" s="88">
        <f t="shared" si="7"/>
        <v>2</v>
      </c>
      <c r="AE22" s="88"/>
      <c r="AF22" s="88">
        <f t="shared" si="8"/>
        <v>1</v>
      </c>
      <c r="AG22" s="88"/>
      <c r="AH22" s="88"/>
      <c r="AI22" s="19"/>
      <c r="AJ22" s="60"/>
      <c r="AR22" s="70">
        <f>IF(D22&lt;&gt;"",D22,4)</f>
        <v>4</v>
      </c>
      <c r="AS22" s="70" t="str">
        <f>IF(D22&lt;&gt;"",D22,"D")</f>
        <v>D</v>
      </c>
      <c r="AT22" s="41">
        <f t="shared" si="9"/>
        <v>0</v>
      </c>
      <c r="AU22" s="19"/>
      <c r="AV22" s="70">
        <f t="shared" si="0"/>
        <v>11</v>
      </c>
      <c r="AW22" s="70" t="str">
        <f t="shared" si="1"/>
        <v>K</v>
      </c>
      <c r="AX22" s="41">
        <f t="shared" si="2"/>
        <v>0</v>
      </c>
      <c r="AY22" s="19"/>
      <c r="AZ22" s="956">
        <v>11</v>
      </c>
      <c r="BA22" s="956" t="s">
        <v>1088</v>
      </c>
      <c r="BB22" s="19"/>
      <c r="BC22" s="19"/>
    </row>
    <row r="23" spans="1:55" s="41" customFormat="1" ht="13.5" customHeight="1">
      <c r="A23" s="88"/>
      <c r="B23" s="88"/>
      <c r="C23" s="1569">
        <v>5</v>
      </c>
      <c r="D23" s="1803"/>
      <c r="E23" s="1804"/>
      <c r="F23" s="1066">
        <v>0</v>
      </c>
      <c r="G23" s="1067"/>
      <c r="H23" s="1067"/>
      <c r="I23" s="382"/>
      <c r="J23" s="1068"/>
      <c r="K23" s="1069"/>
      <c r="L23" s="1070"/>
      <c r="M23" s="382"/>
      <c r="N23" s="1071"/>
      <c r="O23" s="1072"/>
      <c r="P23" s="1072"/>
      <c r="Q23" s="1073"/>
      <c r="Y23" s="440">
        <f t="shared" ca="1" si="5"/>
        <v>43108</v>
      </c>
      <c r="Z23" s="88"/>
      <c r="AA23" s="88">
        <f t="shared" si="6"/>
        <v>0</v>
      </c>
      <c r="AB23" s="88">
        <f t="shared" si="3"/>
        <v>1</v>
      </c>
      <c r="AC23" s="88">
        <f t="shared" si="4"/>
        <v>1</v>
      </c>
      <c r="AD23" s="88">
        <f t="shared" si="7"/>
        <v>2</v>
      </c>
      <c r="AE23" s="88"/>
      <c r="AF23" s="88">
        <f t="shared" si="8"/>
        <v>1</v>
      </c>
      <c r="AG23" s="88"/>
      <c r="AH23" s="88"/>
      <c r="AI23" s="19"/>
      <c r="AJ23" s="60"/>
      <c r="AR23" s="70">
        <f>IF(D23&lt;&gt;"",D23,5)</f>
        <v>5</v>
      </c>
      <c r="AS23" s="70" t="str">
        <f>IF(D23&lt;&gt;"",D23,"E")</f>
        <v>E</v>
      </c>
      <c r="AT23" s="41">
        <f t="shared" si="9"/>
        <v>0</v>
      </c>
      <c r="AU23" s="19"/>
      <c r="AV23" s="70">
        <f t="shared" si="0"/>
        <v>12</v>
      </c>
      <c r="AW23" s="70" t="str">
        <f t="shared" si="1"/>
        <v>L</v>
      </c>
      <c r="AX23" s="41">
        <f t="shared" si="2"/>
        <v>0</v>
      </c>
      <c r="AY23" s="19"/>
      <c r="AZ23" s="956">
        <v>12</v>
      </c>
      <c r="BA23" s="956" t="s">
        <v>1089</v>
      </c>
      <c r="BB23" s="19"/>
      <c r="BC23" s="19"/>
    </row>
    <row r="24" spans="1:55" s="41" customFormat="1" ht="13.5" customHeight="1">
      <c r="A24" s="88"/>
      <c r="B24" s="88"/>
      <c r="C24" s="1569">
        <v>6</v>
      </c>
      <c r="D24" s="1803"/>
      <c r="E24" s="1804"/>
      <c r="F24" s="1066">
        <v>0</v>
      </c>
      <c r="G24" s="1067"/>
      <c r="H24" s="1067"/>
      <c r="I24" s="382"/>
      <c r="J24" s="1068"/>
      <c r="K24" s="1069"/>
      <c r="L24" s="1070"/>
      <c r="M24" s="382"/>
      <c r="N24" s="1071"/>
      <c r="O24" s="1072"/>
      <c r="P24" s="1072"/>
      <c r="Q24" s="1073"/>
      <c r="Y24" s="440">
        <f t="shared" ca="1" si="5"/>
        <v>43108</v>
      </c>
      <c r="Z24" s="88"/>
      <c r="AA24" s="88">
        <f t="shared" si="6"/>
        <v>0</v>
      </c>
      <c r="AB24" s="88">
        <f t="shared" si="3"/>
        <v>1</v>
      </c>
      <c r="AC24" s="88">
        <f t="shared" si="4"/>
        <v>1</v>
      </c>
      <c r="AD24" s="88">
        <f t="shared" si="7"/>
        <v>2</v>
      </c>
      <c r="AE24" s="88"/>
      <c r="AF24" s="88">
        <f t="shared" si="8"/>
        <v>1</v>
      </c>
      <c r="AG24" s="88"/>
      <c r="AH24" s="88"/>
      <c r="AI24" s="19"/>
      <c r="AJ24" s="60"/>
      <c r="AR24" s="70">
        <f>IF(D24&lt;&gt;"",D24,6)</f>
        <v>6</v>
      </c>
      <c r="AS24" s="70" t="str">
        <f>IF(D24&lt;&gt;"",D24,"F")</f>
        <v>F</v>
      </c>
      <c r="AT24" s="41">
        <f t="shared" si="9"/>
        <v>0</v>
      </c>
      <c r="AU24" s="19"/>
      <c r="AV24" s="70">
        <f t="shared" si="0"/>
        <v>13</v>
      </c>
      <c r="AW24" s="70" t="str">
        <f t="shared" si="1"/>
        <v>M</v>
      </c>
      <c r="AX24" s="41">
        <f t="shared" si="2"/>
        <v>0</v>
      </c>
      <c r="AY24" s="19"/>
      <c r="AZ24" s="956">
        <v>13</v>
      </c>
      <c r="BA24" s="956" t="s">
        <v>1090</v>
      </c>
      <c r="BB24" s="19"/>
      <c r="BC24" s="19"/>
    </row>
    <row r="25" spans="1:55" s="41" customFormat="1" ht="13.5" customHeight="1">
      <c r="A25" s="88"/>
      <c r="B25" s="88"/>
      <c r="C25" s="1569">
        <v>7</v>
      </c>
      <c r="D25" s="1803"/>
      <c r="E25" s="1804"/>
      <c r="F25" s="1066">
        <v>0</v>
      </c>
      <c r="G25" s="1067"/>
      <c r="H25" s="1067"/>
      <c r="I25" s="382"/>
      <c r="J25" s="1068"/>
      <c r="K25" s="1069"/>
      <c r="L25" s="1070"/>
      <c r="M25" s="382"/>
      <c r="N25" s="1071"/>
      <c r="O25" s="1072"/>
      <c r="P25" s="1072"/>
      <c r="Q25" s="1073"/>
      <c r="Y25" s="440">
        <f t="shared" ca="1" si="5"/>
        <v>43108</v>
      </c>
      <c r="Z25" s="88"/>
      <c r="AA25" s="88">
        <f t="shared" si="6"/>
        <v>0</v>
      </c>
      <c r="AB25" s="88">
        <f t="shared" si="3"/>
        <v>1</v>
      </c>
      <c r="AC25" s="88">
        <f t="shared" si="4"/>
        <v>1</v>
      </c>
      <c r="AD25" s="88">
        <f t="shared" si="7"/>
        <v>2</v>
      </c>
      <c r="AE25" s="88"/>
      <c r="AF25" s="88">
        <f t="shared" si="8"/>
        <v>1</v>
      </c>
      <c r="AG25" s="88"/>
      <c r="AH25" s="88"/>
      <c r="AI25" s="19"/>
      <c r="AJ25" s="60"/>
      <c r="AK25" s="543"/>
      <c r="AR25" s="70">
        <f>IF(D25&lt;&gt;"",D25,7)</f>
        <v>7</v>
      </c>
      <c r="AS25" s="70" t="str">
        <f>IF(D25&lt;&gt;"",D25,"G")</f>
        <v>G</v>
      </c>
      <c r="AT25" s="41">
        <f t="shared" si="9"/>
        <v>0</v>
      </c>
      <c r="AU25" s="19"/>
      <c r="AV25" s="70">
        <f t="shared" si="0"/>
        <v>14</v>
      </c>
      <c r="AW25" s="70" t="str">
        <f t="shared" si="1"/>
        <v>N</v>
      </c>
      <c r="AX25" s="41">
        <f t="shared" si="2"/>
        <v>0</v>
      </c>
      <c r="AY25" s="19"/>
      <c r="AZ25" s="956">
        <v>14</v>
      </c>
      <c r="BA25" s="956" t="s">
        <v>1091</v>
      </c>
      <c r="BB25" s="19"/>
      <c r="BC25" s="19"/>
    </row>
    <row r="26" spans="1:55" s="41" customFormat="1" ht="13.5" customHeight="1">
      <c r="A26" s="88"/>
      <c r="B26" s="88"/>
      <c r="C26" s="1569">
        <v>8</v>
      </c>
      <c r="D26" s="1803"/>
      <c r="E26" s="1804"/>
      <c r="F26" s="1066">
        <v>0</v>
      </c>
      <c r="G26" s="1067"/>
      <c r="H26" s="1067"/>
      <c r="I26" s="382"/>
      <c r="J26" s="1068"/>
      <c r="K26" s="1069"/>
      <c r="L26" s="1070"/>
      <c r="M26" s="382"/>
      <c r="N26" s="1071"/>
      <c r="O26" s="1072"/>
      <c r="P26" s="1072"/>
      <c r="Q26" s="1073"/>
      <c r="Y26" s="440">
        <f t="shared" ca="1" si="5"/>
        <v>43108</v>
      </c>
      <c r="Z26" s="88"/>
      <c r="AA26" s="88">
        <f t="shared" si="6"/>
        <v>0</v>
      </c>
      <c r="AB26" s="88">
        <f t="shared" si="3"/>
        <v>1</v>
      </c>
      <c r="AC26" s="88">
        <f t="shared" si="4"/>
        <v>1</v>
      </c>
      <c r="AD26" s="88">
        <f t="shared" si="7"/>
        <v>2</v>
      </c>
      <c r="AE26" s="88"/>
      <c r="AF26" s="88">
        <f t="shared" si="8"/>
        <v>1</v>
      </c>
      <c r="AG26" s="88"/>
      <c r="AH26" s="88"/>
      <c r="AI26" s="19"/>
      <c r="AR26" s="70">
        <f>IF(D26&lt;&gt;"",D26,8)</f>
        <v>8</v>
      </c>
      <c r="AS26" s="70" t="str">
        <f>IF(D26&lt;&gt;"",D26,"H")</f>
        <v>H</v>
      </c>
      <c r="AT26" s="41">
        <f t="shared" si="9"/>
        <v>0</v>
      </c>
      <c r="AU26" s="19"/>
      <c r="AV26" s="70">
        <f t="shared" si="0"/>
        <v>15</v>
      </c>
      <c r="AW26" s="70" t="str">
        <f t="shared" si="1"/>
        <v>O</v>
      </c>
      <c r="AX26" s="41">
        <f t="shared" si="2"/>
        <v>0</v>
      </c>
      <c r="AY26" s="19"/>
      <c r="AZ26" s="956">
        <v>15</v>
      </c>
      <c r="BA26" s="956" t="s">
        <v>1092</v>
      </c>
      <c r="BB26" s="19"/>
      <c r="BC26" s="19"/>
    </row>
    <row r="27" spans="1:55" s="41" customFormat="1" ht="13.5" customHeight="1">
      <c r="A27" s="88"/>
      <c r="B27" s="88"/>
      <c r="C27" s="1569">
        <v>9</v>
      </c>
      <c r="D27" s="1803"/>
      <c r="E27" s="1804"/>
      <c r="F27" s="1066">
        <v>0</v>
      </c>
      <c r="G27" s="1067"/>
      <c r="H27" s="1067"/>
      <c r="I27" s="382"/>
      <c r="J27" s="1068"/>
      <c r="K27" s="1069"/>
      <c r="L27" s="1070"/>
      <c r="M27" s="382"/>
      <c r="N27" s="1071"/>
      <c r="O27" s="1072"/>
      <c r="P27" s="1072"/>
      <c r="Q27" s="1073"/>
      <c r="Y27" s="440">
        <f t="shared" ca="1" si="5"/>
        <v>43108</v>
      </c>
      <c r="Z27" s="88"/>
      <c r="AA27" s="88">
        <f t="shared" si="6"/>
        <v>0</v>
      </c>
      <c r="AB27" s="88">
        <f t="shared" si="3"/>
        <v>1</v>
      </c>
      <c r="AC27" s="88">
        <f t="shared" si="4"/>
        <v>1</v>
      </c>
      <c r="AD27" s="88">
        <f t="shared" si="7"/>
        <v>2</v>
      </c>
      <c r="AE27" s="88"/>
      <c r="AF27" s="88">
        <f t="shared" si="8"/>
        <v>1</v>
      </c>
      <c r="AG27" s="88"/>
      <c r="AH27" s="88"/>
      <c r="AI27" s="19"/>
      <c r="AJ27" s="41">
        <f>COUNTIF(O35:O49,"Yes")</f>
        <v>0</v>
      </c>
      <c r="AR27" s="70">
        <f>IF(D27&lt;&gt;"",D27,9)</f>
        <v>9</v>
      </c>
      <c r="AS27" s="70" t="str">
        <f>IF(D27&lt;&gt;"",D27,"I")</f>
        <v>I</v>
      </c>
      <c r="AT27" s="41">
        <f t="shared" si="9"/>
        <v>0</v>
      </c>
      <c r="AU27" s="19"/>
      <c r="AV27" s="19"/>
      <c r="AW27" s="19"/>
      <c r="AX27" s="19"/>
      <c r="AY27" s="19"/>
      <c r="AZ27" s="19"/>
      <c r="BA27" s="19"/>
      <c r="BB27" s="19"/>
      <c r="BC27" s="19"/>
    </row>
    <row r="28" spans="1:55" s="41" customFormat="1" ht="13.5" customHeight="1">
      <c r="A28" s="88"/>
      <c r="B28" s="88"/>
      <c r="C28" s="1569">
        <v>10</v>
      </c>
      <c r="D28" s="1803"/>
      <c r="E28" s="1804"/>
      <c r="F28" s="1066">
        <v>0</v>
      </c>
      <c r="G28" s="1067"/>
      <c r="H28" s="1067"/>
      <c r="I28" s="382"/>
      <c r="J28" s="1068"/>
      <c r="K28" s="1069"/>
      <c r="L28" s="1070"/>
      <c r="M28" s="382"/>
      <c r="N28" s="1071"/>
      <c r="O28" s="1072"/>
      <c r="P28" s="1072"/>
      <c r="Q28" s="1073"/>
      <c r="Y28" s="440">
        <f t="shared" ca="1" si="5"/>
        <v>43108</v>
      </c>
      <c r="Z28" s="88"/>
      <c r="AA28" s="88">
        <f t="shared" si="6"/>
        <v>0</v>
      </c>
      <c r="AB28" s="88">
        <f t="shared" si="3"/>
        <v>1</v>
      </c>
      <c r="AC28" s="88">
        <f t="shared" si="4"/>
        <v>1</v>
      </c>
      <c r="AD28" s="88">
        <f t="shared" si="7"/>
        <v>2</v>
      </c>
      <c r="AE28" s="88"/>
      <c r="AF28" s="88">
        <f t="shared" si="8"/>
        <v>1</v>
      </c>
      <c r="AG28" s="88"/>
      <c r="AH28" s="88"/>
      <c r="AI28" s="19"/>
      <c r="AR28" s="70">
        <f>IF(D28&lt;&gt;"",D28,10)</f>
        <v>10</v>
      </c>
      <c r="AS28" s="70" t="str">
        <f>IF(D28&lt;&gt;"",D28,"J")</f>
        <v>J</v>
      </c>
      <c r="AT28" s="41">
        <f t="shared" si="9"/>
        <v>0</v>
      </c>
      <c r="AU28" s="19"/>
      <c r="AV28" s="19"/>
      <c r="AW28" s="19"/>
      <c r="AX28" s="19"/>
      <c r="AY28" s="19"/>
      <c r="AZ28" s="19"/>
      <c r="BA28" s="19"/>
      <c r="BB28" s="19"/>
      <c r="BC28" s="19"/>
    </row>
    <row r="29" spans="1:55" s="41" customFormat="1" ht="13.5" customHeight="1">
      <c r="A29" s="88"/>
      <c r="B29" s="88"/>
      <c r="C29" s="1569">
        <v>11</v>
      </c>
      <c r="D29" s="1803"/>
      <c r="E29" s="1804"/>
      <c r="F29" s="1066">
        <v>0</v>
      </c>
      <c r="G29" s="1074"/>
      <c r="H29" s="1067"/>
      <c r="I29" s="1075"/>
      <c r="J29" s="1068"/>
      <c r="K29" s="1076"/>
      <c r="L29" s="1077"/>
      <c r="M29" s="1075"/>
      <c r="N29" s="1071"/>
      <c r="O29" s="1072"/>
      <c r="P29" s="1072"/>
      <c r="Q29" s="1073"/>
      <c r="Y29" s="440">
        <f t="shared" ca="1" si="5"/>
        <v>43108</v>
      </c>
      <c r="Z29" s="88"/>
      <c r="AA29" s="88">
        <f t="shared" si="6"/>
        <v>0</v>
      </c>
      <c r="AB29" s="88">
        <f t="shared" si="3"/>
        <v>1</v>
      </c>
      <c r="AC29" s="88">
        <f t="shared" si="4"/>
        <v>1</v>
      </c>
      <c r="AD29" s="88">
        <f t="shared" si="7"/>
        <v>2</v>
      </c>
      <c r="AE29" s="88"/>
      <c r="AF29" s="88">
        <f t="shared" si="8"/>
        <v>1</v>
      </c>
      <c r="AG29" s="88"/>
      <c r="AH29" s="88"/>
      <c r="AI29" s="19"/>
      <c r="AR29" s="70">
        <f>IF(D29&lt;&gt;"",D29,11)</f>
        <v>11</v>
      </c>
      <c r="AS29" s="70" t="str">
        <f>IF(D29&lt;&gt;"",D29,"K")</f>
        <v>K</v>
      </c>
      <c r="AT29" s="41">
        <f t="shared" si="9"/>
        <v>0</v>
      </c>
      <c r="AU29" s="19"/>
      <c r="AV29" s="19"/>
      <c r="AW29" s="19"/>
      <c r="AX29" s="19"/>
      <c r="AY29" s="19"/>
      <c r="AZ29" s="19"/>
      <c r="BA29" s="19"/>
      <c r="BB29" s="19"/>
      <c r="BC29" s="19"/>
    </row>
    <row r="30" spans="1:55" s="41" customFormat="1" ht="13.5" customHeight="1" thickBot="1">
      <c r="A30" s="88"/>
      <c r="B30" s="88"/>
      <c r="C30" s="1570">
        <v>12</v>
      </c>
      <c r="D30" s="1803"/>
      <c r="E30" s="1804"/>
      <c r="F30" s="1078">
        <v>0</v>
      </c>
      <c r="G30" s="1067"/>
      <c r="H30" s="1067"/>
      <c r="I30" s="382"/>
      <c r="J30" s="1068"/>
      <c r="K30" s="1069"/>
      <c r="L30" s="1070"/>
      <c r="M30" s="382"/>
      <c r="N30" s="1071"/>
      <c r="O30" s="1072"/>
      <c r="P30" s="1072"/>
      <c r="Q30" s="1073"/>
      <c r="Y30" s="440">
        <f t="shared" ca="1" si="5"/>
        <v>43108</v>
      </c>
      <c r="Z30" s="88"/>
      <c r="AA30" s="88">
        <f t="shared" si="6"/>
        <v>0</v>
      </c>
      <c r="AB30" s="88">
        <f t="shared" si="3"/>
        <v>1</v>
      </c>
      <c r="AC30" s="88">
        <f t="shared" si="4"/>
        <v>1</v>
      </c>
      <c r="AD30" s="88">
        <f t="shared" si="7"/>
        <v>2</v>
      </c>
      <c r="AE30" s="88"/>
      <c r="AF30" s="88">
        <f t="shared" si="8"/>
        <v>1</v>
      </c>
      <c r="AG30" s="88"/>
      <c r="AH30" s="88"/>
      <c r="AI30" s="19"/>
      <c r="AJ30" s="88"/>
      <c r="AR30" s="70">
        <f>IF(D30&lt;&gt;"",D30,12)</f>
        <v>12</v>
      </c>
      <c r="AS30" s="70" t="str">
        <f>IF(D30&lt;&gt;"",D30,"L")</f>
        <v>L</v>
      </c>
      <c r="AT30" s="41">
        <f t="shared" si="9"/>
        <v>0</v>
      </c>
      <c r="AU30" s="19"/>
      <c r="AV30" s="19"/>
      <c r="AW30" s="19"/>
      <c r="AX30" s="19"/>
      <c r="AY30" s="19"/>
      <c r="AZ30" s="19"/>
      <c r="BA30" s="19"/>
      <c r="BB30" s="19"/>
      <c r="BC30" s="19"/>
    </row>
    <row r="31" spans="1:55" s="41" customFormat="1" ht="13.5" customHeight="1" thickTop="1" thickBot="1">
      <c r="A31" s="88"/>
      <c r="B31" s="88"/>
      <c r="D31" s="1808" t="s">
        <v>116</v>
      </c>
      <c r="E31" s="1809"/>
      <c r="F31" s="994">
        <f>ROUND(SUM(F19:F30),0)</f>
        <v>0</v>
      </c>
      <c r="L31" s="70"/>
      <c r="M31" s="70"/>
      <c r="Z31" s="88"/>
      <c r="AA31" s="88"/>
      <c r="AB31" s="88"/>
      <c r="AC31" s="88"/>
      <c r="AD31" s="88"/>
      <c r="AE31" s="88"/>
      <c r="AF31" s="88"/>
      <c r="AG31" s="88"/>
      <c r="AH31" s="88"/>
    </row>
    <row r="32" spans="1:55" ht="12" customHeight="1" thickTop="1">
      <c r="A32" s="49"/>
      <c r="B32" s="49"/>
      <c r="K32" s="176"/>
      <c r="P32" s="124"/>
      <c r="Z32" s="172"/>
      <c r="AA32" s="172"/>
      <c r="AB32" s="172"/>
      <c r="AC32" s="172"/>
      <c r="AD32" s="172"/>
      <c r="AE32" s="172"/>
      <c r="AF32" s="172"/>
      <c r="AG32" s="172"/>
      <c r="AH32" s="172"/>
    </row>
    <row r="33" spans="1:64" s="40" customFormat="1" ht="15" customHeight="1">
      <c r="A33" s="172"/>
      <c r="B33" s="172"/>
      <c r="C33" s="74"/>
      <c r="D33" s="1800" t="s">
        <v>31</v>
      </c>
      <c r="E33" s="1800"/>
      <c r="F33" s="53"/>
      <c r="G33" s="53"/>
      <c r="H33" s="53"/>
      <c r="I33" s="53"/>
      <c r="J33" s="53"/>
      <c r="K33" s="52"/>
      <c r="L33" s="54"/>
      <c r="M33" s="71"/>
      <c r="N33" s="71"/>
      <c r="O33" s="45"/>
      <c r="P33" s="71"/>
      <c r="Q33" s="71"/>
      <c r="R33" s="45"/>
      <c r="S33" s="45"/>
      <c r="T33" s="45"/>
      <c r="U33" s="45"/>
      <c r="V33" s="45"/>
      <c r="W33" s="45"/>
      <c r="X33" s="71"/>
      <c r="Y33" s="71"/>
      <c r="Z33" s="172"/>
      <c r="AA33" s="172"/>
      <c r="AB33" s="172"/>
      <c r="AC33" s="172"/>
      <c r="AD33" s="172"/>
      <c r="AE33" s="172"/>
      <c r="AF33" s="172"/>
      <c r="AG33" s="172"/>
      <c r="AH33" s="172"/>
      <c r="AI33" s="24"/>
      <c r="AK33" s="40" t="s">
        <v>84</v>
      </c>
      <c r="AL33" s="40" t="s">
        <v>46</v>
      </c>
      <c r="AM33" s="40" t="s">
        <v>26</v>
      </c>
      <c r="AN33" s="40" t="s">
        <v>100</v>
      </c>
      <c r="AO33" s="40" t="s">
        <v>73</v>
      </c>
      <c r="AP33" s="40" t="s">
        <v>24</v>
      </c>
      <c r="AQ33" s="40" t="s">
        <v>29</v>
      </c>
      <c r="AR33" s="40" t="s">
        <v>92</v>
      </c>
      <c r="AS33" s="40" t="s">
        <v>93</v>
      </c>
      <c r="AT33" s="40" t="s">
        <v>148</v>
      </c>
      <c r="AU33" s="8"/>
      <c r="AV33" s="8"/>
      <c r="AW33" s="8"/>
      <c r="AX33" s="8"/>
      <c r="AY33" s="8"/>
      <c r="AZ33" s="8"/>
      <c r="BA33" s="8"/>
      <c r="BB33" s="8"/>
      <c r="BC33" s="8"/>
    </row>
    <row r="34" spans="1:64" s="41" customFormat="1" ht="13.5" customHeight="1">
      <c r="A34" s="88"/>
      <c r="B34" s="88"/>
      <c r="C34" s="1568">
        <v>1</v>
      </c>
      <c r="D34" s="1806" t="s">
        <v>793</v>
      </c>
      <c r="E34" s="1807"/>
      <c r="F34" s="1066">
        <v>0</v>
      </c>
      <c r="G34" s="1079" t="s">
        <v>108</v>
      </c>
      <c r="H34" s="1079" t="s">
        <v>95</v>
      </c>
      <c r="I34" s="1080" t="s">
        <v>98</v>
      </c>
      <c r="J34" s="1081"/>
      <c r="K34" s="1082"/>
      <c r="L34" s="1083"/>
      <c r="M34" s="1072"/>
      <c r="N34" s="1072"/>
      <c r="O34" s="1084"/>
      <c r="P34" s="1072"/>
      <c r="Q34" s="1073"/>
      <c r="R34" s="45"/>
      <c r="S34" s="45"/>
      <c r="T34" s="45"/>
      <c r="U34" s="45"/>
      <c r="V34" s="45" t="str">
        <f>'Project Info and Instructions'!$F$22</f>
        <v>Select 'Yes' or 'No'</v>
      </c>
      <c r="W34" s="45"/>
      <c r="Z34" s="88"/>
      <c r="AA34" s="88"/>
      <c r="AB34" s="88"/>
      <c r="AC34" s="88"/>
      <c r="AD34" s="88"/>
      <c r="AE34" s="88"/>
      <c r="AF34" s="88"/>
      <c r="AG34" s="88"/>
      <c r="AH34" s="88"/>
      <c r="AJ34" s="19"/>
      <c r="AT34" s="41" t="s">
        <v>149</v>
      </c>
      <c r="AU34" s="19"/>
      <c r="AV34" s="19"/>
      <c r="AW34" s="19"/>
      <c r="AX34" s="19"/>
      <c r="AY34" s="19"/>
      <c r="AZ34" s="19"/>
      <c r="BA34" s="19"/>
      <c r="BB34" s="19"/>
      <c r="BC34" s="19"/>
    </row>
    <row r="35" spans="1:64" s="41" customFormat="1" ht="13.5" customHeight="1">
      <c r="A35" s="88"/>
      <c r="B35" s="88"/>
      <c r="C35" s="1569">
        <v>2</v>
      </c>
      <c r="D35" s="1803"/>
      <c r="E35" s="1804"/>
      <c r="F35" s="1066">
        <v>0</v>
      </c>
      <c r="G35" s="1067"/>
      <c r="H35" s="1067"/>
      <c r="I35" s="382"/>
      <c r="J35" s="382"/>
      <c r="K35" s="1069"/>
      <c r="L35" s="1070"/>
      <c r="M35" s="382"/>
      <c r="N35" s="382"/>
      <c r="O35" s="1562"/>
      <c r="P35" s="1085" t="str">
        <f>IFERROR(IF(AND(S35=1,J35="Conventional"),ROUND(ABS(PMT(L35/12,N35,F35)*12),0),""),"$0")</f>
        <v/>
      </c>
      <c r="Q35" s="1086"/>
      <c r="R35" s="45"/>
      <c r="S35" s="45">
        <f>IF(G35="Permanent Loan",1,0)</f>
        <v>0</v>
      </c>
      <c r="T35" s="45">
        <f>IF(AND(G35="Permanent Loan",J35="Deferred"),1,0)</f>
        <v>0</v>
      </c>
      <c r="U35" s="41">
        <f>IF(AND(G35="Permanent Loan",J35="Cash Flow"),1,0)</f>
        <v>0</v>
      </c>
      <c r="V35" s="41">
        <f>IF(OR($V$34="No",$V$34="Select 'Yes' or 'No'"),1,0)</f>
        <v>1</v>
      </c>
      <c r="W35" s="71">
        <f>IF(AND(G35="Permanent Loan",J35="Other"),1,0)</f>
        <v>0</v>
      </c>
      <c r="X35" s="41" t="s">
        <v>919</v>
      </c>
      <c r="Y35" s="440">
        <f t="shared" ref="Y35:Y49" ca="1" si="10">TODAY()</f>
        <v>43108</v>
      </c>
      <c r="AA35" s="88">
        <f>IF(G35&lt;&gt;"",1,0)</f>
        <v>0</v>
      </c>
      <c r="AB35" s="88">
        <f>IF(G35&lt;&gt;"Permanent Loan",1,0)</f>
        <v>1</v>
      </c>
      <c r="AC35" s="88">
        <f>IF(G35&lt;&gt;"Construction Loan",1,0)</f>
        <v>1</v>
      </c>
      <c r="AD35" s="88">
        <f>SUM(AA35:AC35)</f>
        <v>2</v>
      </c>
      <c r="AE35" s="88"/>
      <c r="AF35" s="88">
        <f>IF(I35="",1,0)</f>
        <v>1</v>
      </c>
      <c r="AG35" s="88"/>
      <c r="AH35" s="88"/>
      <c r="AI35" s="544"/>
      <c r="AK35" s="41" t="s">
        <v>74</v>
      </c>
      <c r="AL35" s="41" t="s">
        <v>85</v>
      </c>
      <c r="AM35" s="41" t="s">
        <v>78</v>
      </c>
      <c r="AN35" s="41" t="s">
        <v>89</v>
      </c>
      <c r="AO35" s="41" t="s">
        <v>101</v>
      </c>
      <c r="AP35" s="41" t="s">
        <v>79</v>
      </c>
      <c r="AQ35" s="41" t="s">
        <v>97</v>
      </c>
      <c r="AR35" s="70"/>
      <c r="AS35" s="70"/>
      <c r="AT35" s="41" t="s">
        <v>150</v>
      </c>
      <c r="AU35" s="19"/>
      <c r="AV35" s="19"/>
      <c r="AW35" s="19"/>
      <c r="AX35" s="19"/>
      <c r="AY35" s="19"/>
      <c r="AZ35" s="19"/>
      <c r="BA35" s="19"/>
      <c r="BB35" s="19"/>
      <c r="BC35" s="19"/>
    </row>
    <row r="36" spans="1:64" s="41" customFormat="1" ht="13.5" customHeight="1">
      <c r="A36" s="88"/>
      <c r="B36" s="88"/>
      <c r="C36" s="1569">
        <v>3</v>
      </c>
      <c r="D36" s="1803"/>
      <c r="E36" s="1804"/>
      <c r="F36" s="1066">
        <v>0</v>
      </c>
      <c r="G36" s="1067"/>
      <c r="H36" s="1067"/>
      <c r="I36" s="382"/>
      <c r="J36" s="382"/>
      <c r="K36" s="1069"/>
      <c r="L36" s="1070"/>
      <c r="M36" s="363"/>
      <c r="N36" s="382"/>
      <c r="O36" s="1562"/>
      <c r="P36" s="1085" t="str">
        <f t="shared" ref="P36:P49" si="11">IFERROR(IF(AND(S36=1,J36="Conventional"),ROUND(ABS(PMT(L36/12,N36,F36)*12),0),""),"$0")</f>
        <v/>
      </c>
      <c r="Q36" s="1086"/>
      <c r="R36" s="45"/>
      <c r="S36" s="45">
        <f t="shared" ref="S36:S49" si="12">IF(G36="Permanent Loan",1,0)</f>
        <v>0</v>
      </c>
      <c r="T36" s="45">
        <f>IF(AND(G36="Permanent Loan",J36="Deferred"),1,0)</f>
        <v>0</v>
      </c>
      <c r="U36" s="41">
        <f t="shared" ref="U36:U49" si="13">IF(AND(G36="Permanent Loan",J36="Cash Flow"),1,0)</f>
        <v>0</v>
      </c>
      <c r="V36" s="41">
        <f t="shared" ref="V36:V49" si="14">IF(OR($V$34="No",$V$34="Select 'Yes' or 'No'"),1,0)</f>
        <v>1</v>
      </c>
      <c r="W36" s="71">
        <f t="shared" ref="W36:W49" si="15">IF(AND(G36="Permanent Loan",J36="Other"),1,0)</f>
        <v>0</v>
      </c>
      <c r="X36" s="41" t="s">
        <v>920</v>
      </c>
      <c r="Y36" s="440">
        <f t="shared" ca="1" si="10"/>
        <v>43108</v>
      </c>
      <c r="AA36" s="88">
        <f>IF(G36&lt;&gt;"",1,0)</f>
        <v>0</v>
      </c>
      <c r="AB36" s="88">
        <f t="shared" ref="AB36:AB49" si="16">IF(G36&lt;&gt;"Permanent Loan",1,0)</f>
        <v>1</v>
      </c>
      <c r="AC36" s="88">
        <f t="shared" ref="AC36:AC49" si="17">IF(G36&lt;&gt;"Construction Loan",1,0)</f>
        <v>1</v>
      </c>
      <c r="AD36" s="88">
        <f t="shared" ref="AD36:AD49" si="18">SUM(AA36:AC36)</f>
        <v>2</v>
      </c>
      <c r="AE36" s="88"/>
      <c r="AF36" s="88">
        <f t="shared" ref="AF36:AF49" si="19">IF(I36="",1,0)</f>
        <v>1</v>
      </c>
      <c r="AG36" s="88"/>
      <c r="AH36" s="88"/>
      <c r="AI36" s="544" t="s">
        <v>107</v>
      </c>
      <c r="AJ36" s="544" t="s">
        <v>106</v>
      </c>
      <c r="AK36" s="41" t="s">
        <v>80</v>
      </c>
      <c r="AL36" s="41" t="s">
        <v>78</v>
      </c>
      <c r="AM36" s="41" t="s">
        <v>79</v>
      </c>
      <c r="AN36" s="41" t="s">
        <v>90</v>
      </c>
      <c r="AO36" s="41" t="s">
        <v>102</v>
      </c>
      <c r="AP36" s="41" t="s">
        <v>33</v>
      </c>
      <c r="AQ36" s="41" t="s">
        <v>96</v>
      </c>
      <c r="AR36" s="70" t="s">
        <v>114</v>
      </c>
      <c r="AS36" s="70" t="s">
        <v>114</v>
      </c>
      <c r="AT36" s="41" t="s">
        <v>151</v>
      </c>
      <c r="AU36" s="19"/>
      <c r="AV36" s="19"/>
      <c r="AW36" s="19"/>
      <c r="AX36" s="19"/>
      <c r="AY36" s="19"/>
      <c r="AZ36" s="19"/>
      <c r="BA36" s="19"/>
      <c r="BB36" s="19"/>
      <c r="BC36" s="19"/>
    </row>
    <row r="37" spans="1:64" s="41" customFormat="1" ht="13.5" customHeight="1">
      <c r="A37" s="88"/>
      <c r="B37" s="88"/>
      <c r="C37" s="1569">
        <v>4</v>
      </c>
      <c r="D37" s="1803"/>
      <c r="E37" s="1804"/>
      <c r="F37" s="1066">
        <v>0</v>
      </c>
      <c r="G37" s="1067"/>
      <c r="H37" s="1067"/>
      <c r="I37" s="382"/>
      <c r="J37" s="382"/>
      <c r="K37" s="1069"/>
      <c r="L37" s="1070"/>
      <c r="M37" s="363"/>
      <c r="N37" s="382"/>
      <c r="O37" s="1562"/>
      <c r="P37" s="1085" t="str">
        <f t="shared" si="11"/>
        <v/>
      </c>
      <c r="Q37" s="1086"/>
      <c r="R37" s="45"/>
      <c r="S37" s="45">
        <f t="shared" si="12"/>
        <v>0</v>
      </c>
      <c r="T37" s="45">
        <f t="shared" ref="T37:T49" si="20">IF(AND(G37="Permanent Loan",J37="Deferred"),1,0)</f>
        <v>0</v>
      </c>
      <c r="U37" s="41">
        <f t="shared" si="13"/>
        <v>0</v>
      </c>
      <c r="V37" s="41">
        <f t="shared" si="14"/>
        <v>1</v>
      </c>
      <c r="W37" s="71">
        <f t="shared" si="15"/>
        <v>0</v>
      </c>
      <c r="X37" s="41" t="s">
        <v>921</v>
      </c>
      <c r="Y37" s="440">
        <f t="shared" ca="1" si="10"/>
        <v>43108</v>
      </c>
      <c r="AA37" s="88">
        <f>IF(G37&lt;&gt;"",1,0)</f>
        <v>0</v>
      </c>
      <c r="AB37" s="88">
        <f t="shared" si="16"/>
        <v>1</v>
      </c>
      <c r="AC37" s="88">
        <f t="shared" si="17"/>
        <v>1</v>
      </c>
      <c r="AD37" s="88">
        <f t="shared" si="18"/>
        <v>2</v>
      </c>
      <c r="AE37" s="88"/>
      <c r="AF37" s="88">
        <f t="shared" si="19"/>
        <v>1</v>
      </c>
      <c r="AG37" s="88"/>
      <c r="AH37" s="88"/>
      <c r="AI37" s="544" t="s">
        <v>108</v>
      </c>
      <c r="AJ37" s="544" t="s">
        <v>108</v>
      </c>
      <c r="AK37" s="41" t="s">
        <v>75</v>
      </c>
      <c r="AL37" s="41" t="s">
        <v>79</v>
      </c>
      <c r="AM37" s="41" t="s">
        <v>88</v>
      </c>
      <c r="AO37" s="41" t="s">
        <v>105</v>
      </c>
      <c r="AP37" s="41" t="s">
        <v>76</v>
      </c>
      <c r="AQ37" s="41" t="s">
        <v>98</v>
      </c>
      <c r="AR37" s="70" t="s">
        <v>115</v>
      </c>
      <c r="AS37" s="70" t="s">
        <v>115</v>
      </c>
      <c r="AT37" s="41" t="s">
        <v>152</v>
      </c>
      <c r="AU37" s="19"/>
      <c r="AV37" s="19"/>
      <c r="AW37" s="19"/>
      <c r="AX37" s="19"/>
      <c r="AY37" s="19"/>
      <c r="AZ37" s="19"/>
      <c r="BA37" s="19"/>
      <c r="BB37" s="19"/>
      <c r="BC37" s="19"/>
    </row>
    <row r="38" spans="1:64" s="41" customFormat="1" ht="13.5" customHeight="1">
      <c r="A38" s="88"/>
      <c r="B38" s="88"/>
      <c r="C38" s="1569">
        <v>5</v>
      </c>
      <c r="D38" s="1803"/>
      <c r="E38" s="1804"/>
      <c r="F38" s="1066">
        <v>0</v>
      </c>
      <c r="G38" s="1067"/>
      <c r="H38" s="1067"/>
      <c r="I38" s="382"/>
      <c r="J38" s="382"/>
      <c r="K38" s="1069"/>
      <c r="L38" s="1070"/>
      <c r="M38" s="363"/>
      <c r="N38" s="382"/>
      <c r="O38" s="1562"/>
      <c r="P38" s="1085" t="str">
        <f t="shared" si="11"/>
        <v/>
      </c>
      <c r="Q38" s="1086"/>
      <c r="R38" s="45"/>
      <c r="S38" s="45">
        <f t="shared" si="12"/>
        <v>0</v>
      </c>
      <c r="T38" s="45">
        <f t="shared" si="20"/>
        <v>0</v>
      </c>
      <c r="U38" s="41">
        <f t="shared" si="13"/>
        <v>0</v>
      </c>
      <c r="V38" s="41">
        <f t="shared" si="14"/>
        <v>1</v>
      </c>
      <c r="W38" s="71">
        <f t="shared" si="15"/>
        <v>0</v>
      </c>
      <c r="X38" s="41" t="s">
        <v>33</v>
      </c>
      <c r="Y38" s="440">
        <f t="shared" ca="1" si="10"/>
        <v>43108</v>
      </c>
      <c r="AA38" s="88">
        <f t="shared" ref="AA38:AA49" si="21">IF(G38&lt;&gt;"",1,0)</f>
        <v>0</v>
      </c>
      <c r="AB38" s="88">
        <f t="shared" si="16"/>
        <v>1</v>
      </c>
      <c r="AC38" s="88">
        <f t="shared" si="17"/>
        <v>1</v>
      </c>
      <c r="AD38" s="88">
        <f t="shared" si="18"/>
        <v>2</v>
      </c>
      <c r="AE38" s="88"/>
      <c r="AF38" s="88">
        <f t="shared" si="19"/>
        <v>1</v>
      </c>
      <c r="AG38" s="88"/>
      <c r="AH38" s="88"/>
      <c r="AI38" s="544" t="s">
        <v>109</v>
      </c>
      <c r="AJ38" s="544" t="s">
        <v>109</v>
      </c>
      <c r="AK38" s="41" t="s">
        <v>78</v>
      </c>
      <c r="AL38" s="41" t="s">
        <v>88</v>
      </c>
      <c r="AM38" s="41" t="s">
        <v>33</v>
      </c>
      <c r="AO38" s="41" t="s">
        <v>103</v>
      </c>
      <c r="AT38" s="41" t="s">
        <v>33</v>
      </c>
      <c r="AU38" s="1831" t="s">
        <v>829</v>
      </c>
      <c r="AV38" s="1831"/>
      <c r="AW38" s="19"/>
      <c r="AX38" s="19"/>
      <c r="AY38" s="19"/>
      <c r="AZ38" s="19"/>
      <c r="BA38" s="19"/>
      <c r="BB38" s="19"/>
      <c r="BC38" s="19"/>
    </row>
    <row r="39" spans="1:64" s="41" customFormat="1" ht="13.5" customHeight="1">
      <c r="A39" s="88"/>
      <c r="B39" s="88"/>
      <c r="C39" s="1569">
        <v>6</v>
      </c>
      <c r="D39" s="1803"/>
      <c r="E39" s="1804"/>
      <c r="F39" s="1066">
        <v>0</v>
      </c>
      <c r="G39" s="1067"/>
      <c r="H39" s="1067"/>
      <c r="I39" s="382"/>
      <c r="J39" s="382"/>
      <c r="K39" s="1069"/>
      <c r="L39" s="1070"/>
      <c r="M39" s="363"/>
      <c r="N39" s="382"/>
      <c r="O39" s="1562"/>
      <c r="P39" s="1085" t="str">
        <f t="shared" si="11"/>
        <v/>
      </c>
      <c r="Q39" s="1086"/>
      <c r="R39" s="45"/>
      <c r="S39" s="45">
        <f t="shared" si="12"/>
        <v>0</v>
      </c>
      <c r="T39" s="45">
        <f t="shared" si="20"/>
        <v>0</v>
      </c>
      <c r="U39" s="41">
        <f t="shared" si="13"/>
        <v>0</v>
      </c>
      <c r="V39" s="41">
        <f t="shared" si="14"/>
        <v>1</v>
      </c>
      <c r="W39" s="71">
        <f t="shared" si="15"/>
        <v>0</v>
      </c>
      <c r="Y39" s="440">
        <f t="shared" ca="1" si="10"/>
        <v>43108</v>
      </c>
      <c r="AA39" s="88">
        <f t="shared" si="21"/>
        <v>0</v>
      </c>
      <c r="AB39" s="88">
        <f t="shared" si="16"/>
        <v>1</v>
      </c>
      <c r="AC39" s="88">
        <f t="shared" si="17"/>
        <v>1</v>
      </c>
      <c r="AD39" s="88">
        <f t="shared" si="18"/>
        <v>2</v>
      </c>
      <c r="AE39" s="88"/>
      <c r="AF39" s="88">
        <f t="shared" si="19"/>
        <v>1</v>
      </c>
      <c r="AG39" s="88"/>
      <c r="AH39" s="88"/>
      <c r="AI39" s="544" t="s">
        <v>110</v>
      </c>
      <c r="AJ39" s="544" t="s">
        <v>110</v>
      </c>
      <c r="AK39" s="41" t="s">
        <v>79</v>
      </c>
      <c r="AL39" s="41" t="s">
        <v>86</v>
      </c>
      <c r="AM39" s="41" t="s">
        <v>77</v>
      </c>
      <c r="AO39" s="41" t="s">
        <v>104</v>
      </c>
      <c r="AU39" s="545" t="s">
        <v>824</v>
      </c>
      <c r="AV39" s="545" t="s">
        <v>826</v>
      </c>
      <c r="AW39" s="545" t="s">
        <v>827</v>
      </c>
      <c r="AX39" s="545" t="s">
        <v>828</v>
      </c>
      <c r="AY39" s="19"/>
      <c r="AZ39" s="19"/>
      <c r="BA39" s="19"/>
      <c r="BB39" s="19"/>
      <c r="BC39" s="545" t="s">
        <v>828</v>
      </c>
    </row>
    <row r="40" spans="1:64" s="41" customFormat="1" ht="13.5" customHeight="1">
      <c r="A40" s="88"/>
      <c r="B40" s="88"/>
      <c r="C40" s="1569">
        <v>7</v>
      </c>
      <c r="D40" s="1803"/>
      <c r="E40" s="1804"/>
      <c r="F40" s="1066">
        <v>0</v>
      </c>
      <c r="G40" s="1067"/>
      <c r="H40" s="1067"/>
      <c r="I40" s="382"/>
      <c r="J40" s="382"/>
      <c r="K40" s="1069"/>
      <c r="L40" s="1070"/>
      <c r="M40" s="363"/>
      <c r="N40" s="382"/>
      <c r="O40" s="1562"/>
      <c r="P40" s="1085" t="str">
        <f t="shared" si="11"/>
        <v/>
      </c>
      <c r="Q40" s="1086"/>
      <c r="R40" s="45"/>
      <c r="S40" s="45">
        <f t="shared" si="12"/>
        <v>0</v>
      </c>
      <c r="T40" s="45">
        <f t="shared" si="20"/>
        <v>0</v>
      </c>
      <c r="U40" s="41">
        <f t="shared" si="13"/>
        <v>0</v>
      </c>
      <c r="V40" s="41">
        <f t="shared" si="14"/>
        <v>1</v>
      </c>
      <c r="W40" s="71">
        <f t="shared" si="15"/>
        <v>0</v>
      </c>
      <c r="Y40" s="440">
        <f t="shared" ca="1" si="10"/>
        <v>43108</v>
      </c>
      <c r="AA40" s="88">
        <f t="shared" si="21"/>
        <v>0</v>
      </c>
      <c r="AB40" s="88">
        <f t="shared" si="16"/>
        <v>1</v>
      </c>
      <c r="AC40" s="88">
        <f t="shared" si="17"/>
        <v>1</v>
      </c>
      <c r="AD40" s="88">
        <f t="shared" si="18"/>
        <v>2</v>
      </c>
      <c r="AE40" s="88"/>
      <c r="AF40" s="88">
        <f t="shared" si="19"/>
        <v>1</v>
      </c>
      <c r="AG40" s="88"/>
      <c r="AH40" s="88"/>
      <c r="AI40" s="41" t="s">
        <v>113</v>
      </c>
      <c r="AJ40" s="41" t="s">
        <v>113</v>
      </c>
      <c r="AK40" s="41" t="s">
        <v>94</v>
      </c>
      <c r="AL40" s="41" t="s">
        <v>33</v>
      </c>
      <c r="AM40" s="41" t="s">
        <v>76</v>
      </c>
      <c r="AT40" s="41">
        <f>MAX(AU40:AX40)</f>
        <v>0</v>
      </c>
      <c r="AU40" s="94">
        <f>IF(D19&lt;&gt;"",1,0)</f>
        <v>0</v>
      </c>
      <c r="AV40" s="94">
        <f t="shared" ref="AV40:AV51" si="22">IF(G19&lt;&gt;"",1,0)</f>
        <v>0</v>
      </c>
      <c r="AW40" s="94">
        <f t="shared" ref="AW40:AW51" si="23">IF(H19&lt;&gt;"",1,0)</f>
        <v>0</v>
      </c>
      <c r="AX40" s="94">
        <f t="shared" ref="AX40:AX51" si="24">IF(I19&lt;&gt;"",1,0)</f>
        <v>0</v>
      </c>
      <c r="AY40" s="94" t="str">
        <f>IF(AND(AT40&gt;0,AV40=0),"A source type must be selected for all listed sources.","")</f>
        <v/>
      </c>
      <c r="AZ40" s="193" t="str">
        <f>IF(AND(AT40&gt;0,AW40=0),"A source description must be selected for all listed sources.","")</f>
        <v/>
      </c>
      <c r="BA40" s="193" t="str">
        <f>IF(AND(AT40&gt;0,AX40=0),"A source status must be selected for all listed sources.","")</f>
        <v/>
      </c>
      <c r="BB40" s="19" t="str">
        <f>IF(AND(AT40&gt;0,AU40=0),"A source name must be provided for all sources.","")</f>
        <v/>
      </c>
      <c r="BC40" s="121" t="str">
        <f t="shared" ref="BC40:BC51" si="25">IF(AND(AU40=1,F19&lt;1),"A source amount must be indicated for all listed sources.","")</f>
        <v/>
      </c>
      <c r="BF40" s="567">
        <f>F35</f>
        <v>0</v>
      </c>
      <c r="BG40" s="567">
        <f>IFERROR(ROUND(BF40*O35,0),0)</f>
        <v>0</v>
      </c>
    </row>
    <row r="41" spans="1:64" s="41" customFormat="1" ht="13.5" customHeight="1">
      <c r="A41" s="88"/>
      <c r="B41" s="88"/>
      <c r="C41" s="1569">
        <v>8</v>
      </c>
      <c r="D41" s="1803"/>
      <c r="E41" s="1804"/>
      <c r="F41" s="1066">
        <v>0</v>
      </c>
      <c r="G41" s="1067"/>
      <c r="H41" s="1067"/>
      <c r="I41" s="382"/>
      <c r="J41" s="382"/>
      <c r="K41" s="1069"/>
      <c r="L41" s="1070"/>
      <c r="M41" s="363"/>
      <c r="N41" s="382"/>
      <c r="O41" s="1562"/>
      <c r="P41" s="1085" t="str">
        <f t="shared" si="11"/>
        <v/>
      </c>
      <c r="Q41" s="1086"/>
      <c r="R41" s="45"/>
      <c r="S41" s="45">
        <f t="shared" si="12"/>
        <v>0</v>
      </c>
      <c r="T41" s="45">
        <f t="shared" si="20"/>
        <v>0</v>
      </c>
      <c r="U41" s="41">
        <f t="shared" si="13"/>
        <v>0</v>
      </c>
      <c r="V41" s="41">
        <f t="shared" si="14"/>
        <v>1</v>
      </c>
      <c r="W41" s="71">
        <f t="shared" si="15"/>
        <v>0</v>
      </c>
      <c r="Y41" s="440">
        <f t="shared" ca="1" si="10"/>
        <v>43108</v>
      </c>
      <c r="AA41" s="88">
        <f t="shared" si="21"/>
        <v>0</v>
      </c>
      <c r="AB41" s="88">
        <f t="shared" si="16"/>
        <v>1</v>
      </c>
      <c r="AC41" s="88">
        <f t="shared" si="17"/>
        <v>1</v>
      </c>
      <c r="AD41" s="88">
        <f t="shared" si="18"/>
        <v>2</v>
      </c>
      <c r="AE41" s="88"/>
      <c r="AF41" s="88">
        <f t="shared" si="19"/>
        <v>1</v>
      </c>
      <c r="AG41" s="88"/>
      <c r="AH41" s="88"/>
      <c r="AI41" s="41" t="s">
        <v>111</v>
      </c>
      <c r="AJ41" s="41" t="s">
        <v>111</v>
      </c>
      <c r="AK41" s="41" t="s">
        <v>33</v>
      </c>
      <c r="AL41" s="41" t="s">
        <v>77</v>
      </c>
      <c r="AM41" s="41" t="s">
        <v>87</v>
      </c>
      <c r="AT41" s="41">
        <f t="shared" ref="AT41:AT51" si="26">MAX(AU41:AX41)</f>
        <v>0</v>
      </c>
      <c r="AU41" s="94">
        <f t="shared" ref="AU41:AU51" si="27">IF(D20&lt;&gt;"",1,0)</f>
        <v>0</v>
      </c>
      <c r="AV41" s="94">
        <f t="shared" si="22"/>
        <v>0</v>
      </c>
      <c r="AW41" s="94">
        <f t="shared" si="23"/>
        <v>0</v>
      </c>
      <c r="AX41" s="94">
        <f t="shared" si="24"/>
        <v>0</v>
      </c>
      <c r="AY41" s="94" t="str">
        <f t="shared" ref="AY41:AY51" si="28">IF(AND(AT41&gt;0,AV41=0),"A source type must be selected for all listed sources.","")</f>
        <v/>
      </c>
      <c r="AZ41" s="193" t="str">
        <f t="shared" ref="AZ41:AZ51" si="29">IF(AND(AT41&gt;0,AW41=0),"A source description must be selected for all listed sources.","")</f>
        <v/>
      </c>
      <c r="BA41" s="193" t="str">
        <f t="shared" ref="BA41:BA51" si="30">IF(AND(AT41&gt;0,AX41=0),"A source status must be selected for all listed sources.","")</f>
        <v/>
      </c>
      <c r="BB41" s="19" t="str">
        <f>IF(AND(AT41&gt;0,AU41=0),"A source name must be provided for all sources.","")</f>
        <v/>
      </c>
      <c r="BC41" s="121" t="str">
        <f t="shared" si="25"/>
        <v/>
      </c>
      <c r="BF41" s="567">
        <f t="shared" ref="BF41:BF49" si="31">F36</f>
        <v>0</v>
      </c>
      <c r="BG41" s="567">
        <f t="shared" ref="BG41:BG49" si="32">IFERROR(ROUND(BF41*O36,0),0)</f>
        <v>0</v>
      </c>
    </row>
    <row r="42" spans="1:64" s="81" customFormat="1" ht="13.5" customHeight="1">
      <c r="A42" s="177"/>
      <c r="B42" s="177"/>
      <c r="C42" s="1569">
        <v>9</v>
      </c>
      <c r="D42" s="1803"/>
      <c r="E42" s="1804"/>
      <c r="F42" s="1066">
        <v>0</v>
      </c>
      <c r="G42" s="1067"/>
      <c r="H42" s="1067"/>
      <c r="I42" s="382"/>
      <c r="J42" s="382"/>
      <c r="K42" s="1069"/>
      <c r="L42" s="1070"/>
      <c r="M42" s="363"/>
      <c r="N42" s="382"/>
      <c r="O42" s="1562"/>
      <c r="P42" s="1085" t="str">
        <f t="shared" si="11"/>
        <v/>
      </c>
      <c r="Q42" s="1086"/>
      <c r="R42" s="45"/>
      <c r="S42" s="45">
        <f t="shared" si="12"/>
        <v>0</v>
      </c>
      <c r="T42" s="45">
        <f t="shared" si="20"/>
        <v>0</v>
      </c>
      <c r="U42" s="41">
        <f t="shared" si="13"/>
        <v>0</v>
      </c>
      <c r="V42" s="41">
        <f t="shared" si="14"/>
        <v>1</v>
      </c>
      <c r="W42" s="71">
        <f t="shared" si="15"/>
        <v>0</v>
      </c>
      <c r="Y42" s="440">
        <f t="shared" ca="1" si="10"/>
        <v>43108</v>
      </c>
      <c r="AA42" s="88">
        <f t="shared" si="21"/>
        <v>0</v>
      </c>
      <c r="AB42" s="88">
        <f t="shared" si="16"/>
        <v>1</v>
      </c>
      <c r="AC42" s="88">
        <f t="shared" si="17"/>
        <v>1</v>
      </c>
      <c r="AD42" s="88">
        <f t="shared" si="18"/>
        <v>2</v>
      </c>
      <c r="AE42" s="88"/>
      <c r="AF42" s="88">
        <f t="shared" si="19"/>
        <v>1</v>
      </c>
      <c r="AG42" s="88"/>
      <c r="AH42" s="88"/>
      <c r="AI42" s="80"/>
      <c r="AK42" s="81" t="s">
        <v>77</v>
      </c>
      <c r="AL42" s="81" t="s">
        <v>76</v>
      </c>
      <c r="AM42" s="81" t="s">
        <v>83</v>
      </c>
      <c r="AT42" s="41">
        <f t="shared" si="26"/>
        <v>0</v>
      </c>
      <c r="AU42" s="94">
        <f t="shared" si="27"/>
        <v>0</v>
      </c>
      <c r="AV42" s="94">
        <f t="shared" si="22"/>
        <v>0</v>
      </c>
      <c r="AW42" s="94">
        <f t="shared" si="23"/>
        <v>0</v>
      </c>
      <c r="AX42" s="94">
        <f t="shared" si="24"/>
        <v>0</v>
      </c>
      <c r="AY42" s="94" t="str">
        <f t="shared" si="28"/>
        <v/>
      </c>
      <c r="AZ42" s="193" t="str">
        <f t="shared" si="29"/>
        <v/>
      </c>
      <c r="BA42" s="193" t="str">
        <f t="shared" si="30"/>
        <v/>
      </c>
      <c r="BB42" s="19" t="str">
        <f t="shared" ref="BB42:BB51" si="33">IF(AND(AT42&gt;0,AU42=0),"A source name must be provided for all sources.","")</f>
        <v/>
      </c>
      <c r="BC42" s="121" t="str">
        <f t="shared" si="25"/>
        <v/>
      </c>
      <c r="BF42" s="567">
        <f t="shared" si="31"/>
        <v>0</v>
      </c>
      <c r="BG42" s="567">
        <f t="shared" si="32"/>
        <v>0</v>
      </c>
    </row>
    <row r="43" spans="1:64" s="41" customFormat="1" ht="13.5" customHeight="1">
      <c r="A43" s="88"/>
      <c r="B43" s="88"/>
      <c r="C43" s="1569">
        <v>10</v>
      </c>
      <c r="D43" s="1803"/>
      <c r="E43" s="1804"/>
      <c r="F43" s="1066">
        <v>0</v>
      </c>
      <c r="G43" s="1067"/>
      <c r="H43" s="1067"/>
      <c r="I43" s="382"/>
      <c r="J43" s="382"/>
      <c r="K43" s="1069"/>
      <c r="L43" s="1070"/>
      <c r="M43" s="363"/>
      <c r="N43" s="382"/>
      <c r="O43" s="1562"/>
      <c r="P43" s="1085" t="str">
        <f t="shared" si="11"/>
        <v/>
      </c>
      <c r="Q43" s="1086"/>
      <c r="R43" s="45"/>
      <c r="S43" s="45">
        <f t="shared" si="12"/>
        <v>0</v>
      </c>
      <c r="T43" s="45">
        <f t="shared" si="20"/>
        <v>0</v>
      </c>
      <c r="U43" s="41">
        <f t="shared" si="13"/>
        <v>0</v>
      </c>
      <c r="V43" s="41">
        <f t="shared" si="14"/>
        <v>1</v>
      </c>
      <c r="W43" s="71">
        <f t="shared" si="15"/>
        <v>0</v>
      </c>
      <c r="Y43" s="440">
        <f t="shared" ca="1" si="10"/>
        <v>43108</v>
      </c>
      <c r="AA43" s="88">
        <f>IF(G43&lt;&gt;"",1,0)</f>
        <v>0</v>
      </c>
      <c r="AB43" s="88">
        <f t="shared" si="16"/>
        <v>1</v>
      </c>
      <c r="AC43" s="88">
        <f t="shared" si="17"/>
        <v>1</v>
      </c>
      <c r="AD43" s="88">
        <f t="shared" si="18"/>
        <v>2</v>
      </c>
      <c r="AE43" s="88"/>
      <c r="AF43" s="88">
        <f t="shared" si="19"/>
        <v>1</v>
      </c>
      <c r="AG43" s="88"/>
      <c r="AH43" s="88"/>
      <c r="AI43" s="19"/>
      <c r="AK43" s="41" t="s">
        <v>76</v>
      </c>
      <c r="AL43" s="41" t="s">
        <v>87</v>
      </c>
      <c r="AT43" s="41">
        <f t="shared" si="26"/>
        <v>0</v>
      </c>
      <c r="AU43" s="94">
        <f t="shared" si="27"/>
        <v>0</v>
      </c>
      <c r="AV43" s="94">
        <f t="shared" si="22"/>
        <v>0</v>
      </c>
      <c r="AW43" s="94">
        <f t="shared" si="23"/>
        <v>0</v>
      </c>
      <c r="AX43" s="94">
        <f t="shared" si="24"/>
        <v>0</v>
      </c>
      <c r="AY43" s="94" t="str">
        <f t="shared" si="28"/>
        <v/>
      </c>
      <c r="AZ43" s="193" t="str">
        <f t="shared" si="29"/>
        <v/>
      </c>
      <c r="BA43" s="193" t="str">
        <f t="shared" si="30"/>
        <v/>
      </c>
      <c r="BB43" s="19" t="str">
        <f t="shared" si="33"/>
        <v/>
      </c>
      <c r="BC43" s="121" t="str">
        <f t="shared" si="25"/>
        <v/>
      </c>
      <c r="BF43" s="567">
        <f t="shared" si="31"/>
        <v>0</v>
      </c>
      <c r="BG43" s="567">
        <f t="shared" si="32"/>
        <v>0</v>
      </c>
    </row>
    <row r="44" spans="1:64" s="41" customFormat="1" ht="13.5" customHeight="1">
      <c r="A44" s="88"/>
      <c r="B44" s="88"/>
      <c r="C44" s="1569">
        <v>11</v>
      </c>
      <c r="D44" s="1803"/>
      <c r="E44" s="1804"/>
      <c r="F44" s="1066">
        <v>0</v>
      </c>
      <c r="G44" s="1067"/>
      <c r="H44" s="1067"/>
      <c r="I44" s="382"/>
      <c r="J44" s="382"/>
      <c r="K44" s="1069"/>
      <c r="L44" s="1070"/>
      <c r="M44" s="363"/>
      <c r="N44" s="382"/>
      <c r="O44" s="1562"/>
      <c r="P44" s="1085" t="str">
        <f t="shared" si="11"/>
        <v/>
      </c>
      <c r="Q44" s="1086"/>
      <c r="R44" s="45"/>
      <c r="S44" s="45">
        <f t="shared" si="12"/>
        <v>0</v>
      </c>
      <c r="T44" s="45">
        <f t="shared" si="20"/>
        <v>0</v>
      </c>
      <c r="U44" s="41">
        <f t="shared" si="13"/>
        <v>0</v>
      </c>
      <c r="V44" s="41">
        <f>IF(OR($V$34="No",$V$34="Select 'Yes' or 'No'"),1,0)</f>
        <v>1</v>
      </c>
      <c r="W44" s="71">
        <f t="shared" si="15"/>
        <v>0</v>
      </c>
      <c r="Y44" s="440">
        <f t="shared" ca="1" si="10"/>
        <v>43108</v>
      </c>
      <c r="AA44" s="88">
        <f t="shared" si="21"/>
        <v>0</v>
      </c>
      <c r="AB44" s="88">
        <f t="shared" si="16"/>
        <v>1</v>
      </c>
      <c r="AC44" s="88">
        <f t="shared" si="17"/>
        <v>1</v>
      </c>
      <c r="AD44" s="88">
        <f t="shared" si="18"/>
        <v>2</v>
      </c>
      <c r="AE44" s="88"/>
      <c r="AF44" s="88">
        <f t="shared" si="19"/>
        <v>1</v>
      </c>
      <c r="AG44" s="88"/>
      <c r="AH44" s="88"/>
      <c r="AI44" s="19"/>
      <c r="AK44" s="41" t="s">
        <v>81</v>
      </c>
      <c r="AL44" s="41" t="s">
        <v>83</v>
      </c>
      <c r="AT44" s="41">
        <f t="shared" si="26"/>
        <v>0</v>
      </c>
      <c r="AU44" s="94">
        <f t="shared" si="27"/>
        <v>0</v>
      </c>
      <c r="AV44" s="94">
        <f t="shared" si="22"/>
        <v>0</v>
      </c>
      <c r="AW44" s="94">
        <f t="shared" si="23"/>
        <v>0</v>
      </c>
      <c r="AX44" s="94">
        <f t="shared" si="24"/>
        <v>0</v>
      </c>
      <c r="AY44" s="94" t="str">
        <f t="shared" si="28"/>
        <v/>
      </c>
      <c r="AZ44" s="193" t="str">
        <f t="shared" si="29"/>
        <v/>
      </c>
      <c r="BA44" s="193" t="str">
        <f t="shared" si="30"/>
        <v/>
      </c>
      <c r="BB44" s="19" t="str">
        <f t="shared" si="33"/>
        <v/>
      </c>
      <c r="BC44" s="121" t="str">
        <f t="shared" si="25"/>
        <v/>
      </c>
      <c r="BF44" s="567">
        <f t="shared" si="31"/>
        <v>0</v>
      </c>
      <c r="BG44" s="567">
        <f t="shared" si="32"/>
        <v>0</v>
      </c>
    </row>
    <row r="45" spans="1:64" s="41" customFormat="1" ht="13.5" customHeight="1">
      <c r="A45" s="88"/>
      <c r="B45" s="88"/>
      <c r="C45" s="1569">
        <v>12</v>
      </c>
      <c r="D45" s="1803"/>
      <c r="E45" s="1804"/>
      <c r="F45" s="1066">
        <v>0</v>
      </c>
      <c r="G45" s="1067"/>
      <c r="H45" s="1067"/>
      <c r="I45" s="382"/>
      <c r="J45" s="382"/>
      <c r="K45" s="1069"/>
      <c r="L45" s="1070"/>
      <c r="M45" s="363"/>
      <c r="N45" s="382"/>
      <c r="O45" s="1562"/>
      <c r="P45" s="1085" t="str">
        <f>IFERROR(IF(AND(S45=1,J45="Conventional"),ROUND(ABS(PMT(L45/12,N45,F45)*12),0),""),"$0")</f>
        <v/>
      </c>
      <c r="Q45" s="1086"/>
      <c r="R45" s="45"/>
      <c r="S45" s="45">
        <f t="shared" si="12"/>
        <v>0</v>
      </c>
      <c r="T45" s="45">
        <f t="shared" si="20"/>
        <v>0</v>
      </c>
      <c r="U45" s="41">
        <f t="shared" si="13"/>
        <v>0</v>
      </c>
      <c r="V45" s="41">
        <f t="shared" si="14"/>
        <v>1</v>
      </c>
      <c r="W45" s="71">
        <f t="shared" si="15"/>
        <v>0</v>
      </c>
      <c r="Y45" s="440">
        <f t="shared" ca="1" si="10"/>
        <v>43108</v>
      </c>
      <c r="AA45" s="88">
        <f t="shared" si="21"/>
        <v>0</v>
      </c>
      <c r="AB45" s="88">
        <f t="shared" si="16"/>
        <v>1</v>
      </c>
      <c r="AC45" s="88">
        <f t="shared" si="17"/>
        <v>1</v>
      </c>
      <c r="AD45" s="88">
        <f t="shared" si="18"/>
        <v>2</v>
      </c>
      <c r="AE45" s="88"/>
      <c r="AF45" s="88">
        <f t="shared" si="19"/>
        <v>1</v>
      </c>
      <c r="AG45" s="88"/>
      <c r="AH45" s="88"/>
      <c r="AI45" s="45"/>
      <c r="AK45" s="41" t="s">
        <v>82</v>
      </c>
      <c r="AT45" s="41">
        <f t="shared" si="26"/>
        <v>0</v>
      </c>
      <c r="AU45" s="94">
        <f t="shared" si="27"/>
        <v>0</v>
      </c>
      <c r="AV45" s="94">
        <f t="shared" si="22"/>
        <v>0</v>
      </c>
      <c r="AW45" s="94">
        <f t="shared" si="23"/>
        <v>0</v>
      </c>
      <c r="AX45" s="94">
        <f t="shared" si="24"/>
        <v>0</v>
      </c>
      <c r="AY45" s="94" t="str">
        <f t="shared" si="28"/>
        <v/>
      </c>
      <c r="AZ45" s="193" t="str">
        <f t="shared" si="29"/>
        <v/>
      </c>
      <c r="BA45" s="193" t="str">
        <f t="shared" si="30"/>
        <v/>
      </c>
      <c r="BB45" s="19" t="str">
        <f t="shared" si="33"/>
        <v/>
      </c>
      <c r="BC45" s="121" t="str">
        <f t="shared" si="25"/>
        <v/>
      </c>
      <c r="BF45" s="567">
        <f t="shared" si="31"/>
        <v>0</v>
      </c>
      <c r="BG45" s="567">
        <f t="shared" si="32"/>
        <v>0</v>
      </c>
    </row>
    <row r="46" spans="1:64" s="41" customFormat="1" ht="13.5" customHeight="1">
      <c r="A46" s="88"/>
      <c r="B46" s="88"/>
      <c r="C46" s="1569">
        <v>13</v>
      </c>
      <c r="D46" s="1803"/>
      <c r="E46" s="1804"/>
      <c r="F46" s="1066">
        <v>0</v>
      </c>
      <c r="G46" s="1067"/>
      <c r="H46" s="1067"/>
      <c r="I46" s="382"/>
      <c r="J46" s="382"/>
      <c r="K46" s="1069"/>
      <c r="L46" s="1070"/>
      <c r="M46" s="363"/>
      <c r="N46" s="382"/>
      <c r="O46" s="1562"/>
      <c r="P46" s="1085" t="str">
        <f t="shared" si="11"/>
        <v/>
      </c>
      <c r="Q46" s="1086"/>
      <c r="R46" s="45"/>
      <c r="S46" s="45">
        <f t="shared" si="12"/>
        <v>0</v>
      </c>
      <c r="T46" s="45">
        <f t="shared" si="20"/>
        <v>0</v>
      </c>
      <c r="U46" s="41">
        <f t="shared" si="13"/>
        <v>0</v>
      </c>
      <c r="V46" s="41">
        <f t="shared" si="14"/>
        <v>1</v>
      </c>
      <c r="W46" s="71">
        <f t="shared" si="15"/>
        <v>0</v>
      </c>
      <c r="Y46" s="440">
        <f t="shared" ca="1" si="10"/>
        <v>43108</v>
      </c>
      <c r="AA46" s="88">
        <f t="shared" si="21"/>
        <v>0</v>
      </c>
      <c r="AB46" s="88">
        <f t="shared" si="16"/>
        <v>1</v>
      </c>
      <c r="AC46" s="88">
        <f t="shared" si="17"/>
        <v>1</v>
      </c>
      <c r="AD46" s="88">
        <f t="shared" si="18"/>
        <v>2</v>
      </c>
      <c r="AE46" s="88"/>
      <c r="AF46" s="88">
        <f t="shared" si="19"/>
        <v>1</v>
      </c>
      <c r="AG46" s="88"/>
      <c r="AH46" s="88"/>
      <c r="AI46" s="45"/>
      <c r="AK46" s="41" t="s">
        <v>83</v>
      </c>
      <c r="AT46" s="41">
        <f t="shared" si="26"/>
        <v>0</v>
      </c>
      <c r="AU46" s="94">
        <f t="shared" si="27"/>
        <v>0</v>
      </c>
      <c r="AV46" s="94">
        <f t="shared" si="22"/>
        <v>0</v>
      </c>
      <c r="AW46" s="94">
        <f t="shared" si="23"/>
        <v>0</v>
      </c>
      <c r="AX46" s="94">
        <f t="shared" si="24"/>
        <v>0</v>
      </c>
      <c r="AY46" s="94" t="str">
        <f t="shared" si="28"/>
        <v/>
      </c>
      <c r="AZ46" s="193" t="str">
        <f t="shared" si="29"/>
        <v/>
      </c>
      <c r="BA46" s="193" t="str">
        <f t="shared" si="30"/>
        <v/>
      </c>
      <c r="BB46" s="19" t="str">
        <f t="shared" si="33"/>
        <v/>
      </c>
      <c r="BC46" s="121" t="str">
        <f t="shared" si="25"/>
        <v/>
      </c>
      <c r="BF46" s="567">
        <f t="shared" si="31"/>
        <v>0</v>
      </c>
      <c r="BG46" s="567">
        <f t="shared" si="32"/>
        <v>0</v>
      </c>
    </row>
    <row r="47" spans="1:64" s="41" customFormat="1" ht="13.5" customHeight="1">
      <c r="A47" s="88"/>
      <c r="B47" s="88"/>
      <c r="C47" s="1569">
        <v>14</v>
      </c>
      <c r="D47" s="1803"/>
      <c r="E47" s="1804"/>
      <c r="F47" s="1066">
        <v>0</v>
      </c>
      <c r="G47" s="1067"/>
      <c r="H47" s="1067"/>
      <c r="I47" s="382"/>
      <c r="J47" s="382"/>
      <c r="K47" s="1069"/>
      <c r="L47" s="1070"/>
      <c r="M47" s="363"/>
      <c r="N47" s="382"/>
      <c r="O47" s="1562"/>
      <c r="P47" s="1085" t="str">
        <f t="shared" si="11"/>
        <v/>
      </c>
      <c r="Q47" s="1086"/>
      <c r="R47" s="45"/>
      <c r="S47" s="45">
        <f t="shared" si="12"/>
        <v>0</v>
      </c>
      <c r="T47" s="45">
        <f t="shared" si="20"/>
        <v>0</v>
      </c>
      <c r="U47" s="41">
        <f t="shared" si="13"/>
        <v>0</v>
      </c>
      <c r="V47" s="41">
        <f t="shared" si="14"/>
        <v>1</v>
      </c>
      <c r="W47" s="71">
        <f t="shared" si="15"/>
        <v>0</v>
      </c>
      <c r="Y47" s="440">
        <f t="shared" ca="1" si="10"/>
        <v>43108</v>
      </c>
      <c r="AA47" s="88">
        <f t="shared" si="21"/>
        <v>0</v>
      </c>
      <c r="AB47" s="88">
        <f t="shared" si="16"/>
        <v>1</v>
      </c>
      <c r="AC47" s="88">
        <f t="shared" si="17"/>
        <v>1</v>
      </c>
      <c r="AD47" s="88">
        <f t="shared" si="18"/>
        <v>2</v>
      </c>
      <c r="AE47" s="88"/>
      <c r="AF47" s="88">
        <f t="shared" si="19"/>
        <v>1</v>
      </c>
      <c r="AG47" s="88"/>
      <c r="AH47" s="88"/>
      <c r="AI47" s="45"/>
      <c r="AT47" s="41">
        <f t="shared" si="26"/>
        <v>0</v>
      </c>
      <c r="AU47" s="94">
        <f t="shared" si="27"/>
        <v>0</v>
      </c>
      <c r="AV47" s="94">
        <f t="shared" si="22"/>
        <v>0</v>
      </c>
      <c r="AW47" s="94">
        <f t="shared" si="23"/>
        <v>0</v>
      </c>
      <c r="AX47" s="94">
        <f t="shared" si="24"/>
        <v>0</v>
      </c>
      <c r="AY47" s="94" t="str">
        <f t="shared" si="28"/>
        <v/>
      </c>
      <c r="AZ47" s="193" t="str">
        <f t="shared" si="29"/>
        <v/>
      </c>
      <c r="BA47" s="193" t="str">
        <f t="shared" si="30"/>
        <v/>
      </c>
      <c r="BB47" s="19" t="str">
        <f t="shared" si="33"/>
        <v/>
      </c>
      <c r="BC47" s="121" t="str">
        <f t="shared" si="25"/>
        <v/>
      </c>
      <c r="BF47" s="567">
        <f t="shared" si="31"/>
        <v>0</v>
      </c>
      <c r="BG47" s="567">
        <f t="shared" si="32"/>
        <v>0</v>
      </c>
    </row>
    <row r="48" spans="1:64" s="76" customFormat="1" ht="13.5" customHeight="1">
      <c r="A48" s="77"/>
      <c r="B48" s="77"/>
      <c r="C48" s="1569">
        <v>15</v>
      </c>
      <c r="D48" s="1803"/>
      <c r="E48" s="1804"/>
      <c r="F48" s="1066">
        <v>0</v>
      </c>
      <c r="G48" s="1067"/>
      <c r="H48" s="1067"/>
      <c r="I48" s="382"/>
      <c r="J48" s="382"/>
      <c r="K48" s="1069"/>
      <c r="L48" s="1070"/>
      <c r="M48" s="363"/>
      <c r="N48" s="382"/>
      <c r="O48" s="1562"/>
      <c r="P48" s="1085" t="str">
        <f t="shared" si="11"/>
        <v/>
      </c>
      <c r="Q48" s="1086"/>
      <c r="R48" s="45"/>
      <c r="S48" s="45">
        <f t="shared" si="12"/>
        <v>0</v>
      </c>
      <c r="T48" s="45">
        <f t="shared" si="20"/>
        <v>0</v>
      </c>
      <c r="U48" s="41">
        <f t="shared" si="13"/>
        <v>0</v>
      </c>
      <c r="V48" s="41">
        <f t="shared" si="14"/>
        <v>1</v>
      </c>
      <c r="W48" s="71">
        <f t="shared" si="15"/>
        <v>0</v>
      </c>
      <c r="X48" s="41"/>
      <c r="Y48" s="440">
        <f t="shared" ca="1" si="10"/>
        <v>43108</v>
      </c>
      <c r="Z48" s="41"/>
      <c r="AA48" s="88">
        <f t="shared" si="21"/>
        <v>0</v>
      </c>
      <c r="AB48" s="88">
        <f t="shared" si="16"/>
        <v>1</v>
      </c>
      <c r="AC48" s="88">
        <f t="shared" si="17"/>
        <v>1</v>
      </c>
      <c r="AD48" s="88">
        <f t="shared" si="18"/>
        <v>2</v>
      </c>
      <c r="AE48" s="88"/>
      <c r="AF48" s="88">
        <f t="shared" si="19"/>
        <v>1</v>
      </c>
      <c r="AG48" s="88"/>
      <c r="AH48" s="88"/>
      <c r="AI48" s="19"/>
      <c r="AJ48" s="41"/>
      <c r="AK48" s="41"/>
      <c r="AL48" s="41"/>
      <c r="AM48" s="41"/>
      <c r="AN48" s="41"/>
      <c r="AO48" s="41"/>
      <c r="AP48" s="41"/>
      <c r="AQ48" s="41"/>
      <c r="AR48" s="41"/>
      <c r="AS48" s="41"/>
      <c r="AT48" s="41">
        <f t="shared" si="26"/>
        <v>0</v>
      </c>
      <c r="AU48" s="94">
        <f t="shared" si="27"/>
        <v>0</v>
      </c>
      <c r="AV48" s="94">
        <f t="shared" si="22"/>
        <v>0</v>
      </c>
      <c r="AW48" s="94">
        <f t="shared" si="23"/>
        <v>0</v>
      </c>
      <c r="AX48" s="94">
        <f t="shared" si="24"/>
        <v>0</v>
      </c>
      <c r="AY48" s="94" t="str">
        <f t="shared" si="28"/>
        <v/>
      </c>
      <c r="AZ48" s="193" t="str">
        <f t="shared" si="29"/>
        <v/>
      </c>
      <c r="BA48" s="193" t="str">
        <f t="shared" si="30"/>
        <v/>
      </c>
      <c r="BB48" s="19" t="str">
        <f t="shared" si="33"/>
        <v/>
      </c>
      <c r="BC48" s="121" t="str">
        <f t="shared" si="25"/>
        <v/>
      </c>
      <c r="BD48" s="41"/>
      <c r="BE48" s="41"/>
      <c r="BF48" s="567">
        <f t="shared" si="31"/>
        <v>0</v>
      </c>
      <c r="BG48" s="567">
        <f t="shared" si="32"/>
        <v>0</v>
      </c>
      <c r="BH48" s="41"/>
      <c r="BI48" s="41"/>
      <c r="BJ48" s="41"/>
      <c r="BK48" s="41"/>
      <c r="BL48" s="41"/>
    </row>
    <row r="49" spans="1:64" s="76" customFormat="1" ht="13.5" customHeight="1" thickBot="1">
      <c r="A49" s="77"/>
      <c r="B49" s="77"/>
      <c r="C49" s="1570">
        <v>16</v>
      </c>
      <c r="D49" s="1803"/>
      <c r="E49" s="1804"/>
      <c r="F49" s="1087">
        <v>0</v>
      </c>
      <c r="G49" s="1067"/>
      <c r="H49" s="1067"/>
      <c r="I49" s="382"/>
      <c r="J49" s="382"/>
      <c r="K49" s="1069"/>
      <c r="L49" s="1070"/>
      <c r="M49" s="363"/>
      <c r="N49" s="382"/>
      <c r="O49" s="1562"/>
      <c r="P49" s="1088" t="str">
        <f t="shared" si="11"/>
        <v/>
      </c>
      <c r="Q49" s="1086"/>
      <c r="R49" s="45"/>
      <c r="S49" s="45">
        <f t="shared" si="12"/>
        <v>0</v>
      </c>
      <c r="T49" s="45">
        <f t="shared" si="20"/>
        <v>0</v>
      </c>
      <c r="U49" s="41">
        <f t="shared" si="13"/>
        <v>0</v>
      </c>
      <c r="V49" s="41">
        <f t="shared" si="14"/>
        <v>1</v>
      </c>
      <c r="W49" s="71">
        <f t="shared" si="15"/>
        <v>0</v>
      </c>
      <c r="X49" s="41"/>
      <c r="Y49" s="440">
        <f t="shared" ca="1" si="10"/>
        <v>43108</v>
      </c>
      <c r="Z49" s="41"/>
      <c r="AA49" s="88">
        <f t="shared" si="21"/>
        <v>0</v>
      </c>
      <c r="AB49" s="88">
        <f t="shared" si="16"/>
        <v>1</v>
      </c>
      <c r="AC49" s="88">
        <f t="shared" si="17"/>
        <v>1</v>
      </c>
      <c r="AD49" s="88">
        <f t="shared" si="18"/>
        <v>2</v>
      </c>
      <c r="AE49" s="88"/>
      <c r="AF49" s="88">
        <f t="shared" si="19"/>
        <v>1</v>
      </c>
      <c r="AG49" s="88"/>
      <c r="AH49" s="88"/>
      <c r="AI49" s="19"/>
      <c r="AJ49" s="41"/>
      <c r="AK49" s="41"/>
      <c r="AL49" s="41"/>
      <c r="AM49" s="41"/>
      <c r="AN49" s="41"/>
      <c r="AO49" s="41"/>
      <c r="AP49" s="41"/>
      <c r="AQ49" s="41"/>
      <c r="AR49" s="41"/>
      <c r="AS49" s="41"/>
      <c r="AT49" s="41">
        <f t="shared" si="26"/>
        <v>0</v>
      </c>
      <c r="AU49" s="94">
        <f t="shared" si="27"/>
        <v>0</v>
      </c>
      <c r="AV49" s="94">
        <f t="shared" si="22"/>
        <v>0</v>
      </c>
      <c r="AW49" s="94">
        <f t="shared" si="23"/>
        <v>0</v>
      </c>
      <c r="AX49" s="94">
        <f t="shared" si="24"/>
        <v>0</v>
      </c>
      <c r="AY49" s="94" t="str">
        <f t="shared" si="28"/>
        <v/>
      </c>
      <c r="AZ49" s="193" t="str">
        <f t="shared" si="29"/>
        <v/>
      </c>
      <c r="BA49" s="193" t="str">
        <f t="shared" si="30"/>
        <v/>
      </c>
      <c r="BB49" s="19" t="str">
        <f t="shared" si="33"/>
        <v/>
      </c>
      <c r="BC49" s="121" t="str">
        <f t="shared" si="25"/>
        <v/>
      </c>
      <c r="BD49" s="41"/>
      <c r="BE49" s="41"/>
      <c r="BF49" s="567">
        <f t="shared" si="31"/>
        <v>0</v>
      </c>
      <c r="BG49" s="567">
        <f t="shared" si="32"/>
        <v>0</v>
      </c>
      <c r="BH49" s="41"/>
      <c r="BI49" s="41"/>
      <c r="BJ49" s="41"/>
      <c r="BK49" s="41"/>
      <c r="BL49" s="41"/>
    </row>
    <row r="50" spans="1:64" s="76" customFormat="1" ht="13.5" customHeight="1" thickTop="1" thickBot="1">
      <c r="A50" s="77"/>
      <c r="B50" s="77"/>
      <c r="C50" s="83"/>
      <c r="D50" s="1808" t="s">
        <v>32</v>
      </c>
      <c r="E50" s="1809"/>
      <c r="F50" s="994">
        <f>ROUND(SUM(F34:F49),0)</f>
        <v>0</v>
      </c>
      <c r="G50" s="85"/>
      <c r="H50" s="86"/>
      <c r="I50" s="86"/>
      <c r="J50" s="86"/>
      <c r="K50" s="86"/>
      <c r="L50" s="86"/>
      <c r="M50" s="86"/>
      <c r="Q50" s="86"/>
      <c r="R50" s="86"/>
      <c r="S50" s="86"/>
      <c r="T50" s="86"/>
      <c r="U50" s="86"/>
      <c r="V50" s="86"/>
      <c r="W50" s="71"/>
      <c r="X50" s="45"/>
      <c r="Y50" s="45"/>
      <c r="Z50" s="88"/>
      <c r="AA50" s="88"/>
      <c r="AB50" s="88"/>
      <c r="AC50" s="88"/>
      <c r="AD50" s="88"/>
      <c r="AE50" s="88"/>
      <c r="AF50" s="88"/>
      <c r="AG50" s="88"/>
      <c r="AH50" s="88"/>
      <c r="AI50" s="19"/>
      <c r="AJ50" s="41"/>
      <c r="AK50" s="41"/>
      <c r="AL50" s="41"/>
      <c r="AM50" s="41"/>
      <c r="AN50" s="41"/>
      <c r="AO50" s="41"/>
      <c r="AP50" s="41"/>
      <c r="AQ50" s="41"/>
      <c r="AR50" s="41"/>
      <c r="AS50" s="41"/>
      <c r="AT50" s="41">
        <f t="shared" si="26"/>
        <v>0</v>
      </c>
      <c r="AU50" s="94">
        <f t="shared" si="27"/>
        <v>0</v>
      </c>
      <c r="AV50" s="94">
        <f t="shared" si="22"/>
        <v>0</v>
      </c>
      <c r="AW50" s="94">
        <f t="shared" si="23"/>
        <v>0</v>
      </c>
      <c r="AX50" s="94">
        <f t="shared" si="24"/>
        <v>0</v>
      </c>
      <c r="AY50" s="94" t="str">
        <f t="shared" si="28"/>
        <v/>
      </c>
      <c r="AZ50" s="193" t="str">
        <f t="shared" si="29"/>
        <v/>
      </c>
      <c r="BA50" s="193" t="str">
        <f t="shared" si="30"/>
        <v/>
      </c>
      <c r="BB50" s="19" t="str">
        <f t="shared" si="33"/>
        <v/>
      </c>
      <c r="BC50" s="121" t="str">
        <f t="shared" si="25"/>
        <v/>
      </c>
      <c r="BD50" s="41"/>
      <c r="BE50" s="41"/>
      <c r="BF50" s="567"/>
      <c r="BG50" s="567">
        <f>SUM(BG40:BG49)</f>
        <v>0</v>
      </c>
      <c r="BH50" s="41"/>
      <c r="BI50" s="41"/>
      <c r="BJ50" s="41"/>
      <c r="BK50" s="41"/>
      <c r="BL50" s="41"/>
    </row>
    <row r="51" spans="1:64" ht="6.75" customHeight="1" thickTop="1">
      <c r="A51" s="49"/>
      <c r="B51" s="49"/>
      <c r="C51" s="40"/>
      <c r="D51" s="8"/>
      <c r="E51" s="9"/>
      <c r="F51" s="35"/>
      <c r="G51" s="35"/>
      <c r="H51" s="35"/>
      <c r="I51" s="35"/>
      <c r="J51" s="35"/>
      <c r="K51" s="38"/>
      <c r="L51" s="10"/>
      <c r="M51" s="10"/>
      <c r="N51" s="10"/>
      <c r="O51" s="10"/>
      <c r="P51" s="10"/>
      <c r="Q51" s="10"/>
      <c r="R51" s="10"/>
      <c r="S51" s="10"/>
      <c r="T51" s="10"/>
      <c r="U51" s="10"/>
      <c r="V51" s="10"/>
      <c r="W51" s="10"/>
      <c r="X51" s="10"/>
      <c r="Y51" s="10"/>
      <c r="Z51" s="172"/>
      <c r="AA51" s="172"/>
      <c r="AB51" s="172"/>
      <c r="AC51" s="172"/>
      <c r="AD51" s="172"/>
      <c r="AE51" s="172"/>
      <c r="AF51" s="172"/>
      <c r="AG51" s="172"/>
      <c r="AH51" s="172"/>
      <c r="AI51" s="10"/>
      <c r="AK51" s="548">
        <f>SUM(F29:F30,F34:F49)</f>
        <v>0</v>
      </c>
      <c r="AT51" s="41">
        <f t="shared" si="26"/>
        <v>0</v>
      </c>
      <c r="AU51" s="94">
        <f t="shared" si="27"/>
        <v>0</v>
      </c>
      <c r="AV51" s="94">
        <f t="shared" si="22"/>
        <v>0</v>
      </c>
      <c r="AW51" s="94">
        <f t="shared" si="23"/>
        <v>0</v>
      </c>
      <c r="AX51" s="94">
        <f t="shared" si="24"/>
        <v>0</v>
      </c>
      <c r="AY51" s="94" t="str">
        <f t="shared" si="28"/>
        <v/>
      </c>
      <c r="AZ51" s="193" t="str">
        <f t="shared" si="29"/>
        <v/>
      </c>
      <c r="BA51" s="193" t="str">
        <f t="shared" si="30"/>
        <v/>
      </c>
      <c r="BB51" s="19" t="str">
        <f t="shared" si="33"/>
        <v/>
      </c>
      <c r="BC51" s="121" t="str">
        <f t="shared" si="25"/>
        <v/>
      </c>
      <c r="BF51" s="567"/>
    </row>
    <row r="52" spans="1:64" ht="6.75" customHeight="1">
      <c r="A52" s="49"/>
      <c r="B52" s="49"/>
      <c r="Z52" s="172"/>
      <c r="AA52" s="172"/>
      <c r="AB52" s="172"/>
      <c r="AC52" s="172"/>
      <c r="AD52" s="172"/>
      <c r="AE52" s="172"/>
      <c r="AF52" s="172"/>
      <c r="AG52" s="172"/>
      <c r="AH52" s="172"/>
      <c r="AU52" s="550"/>
      <c r="AV52" s="551"/>
      <c r="AW52" s="551"/>
      <c r="AX52" s="551"/>
      <c r="AY52" s="552">
        <f>COUNTIF(AY37:AY51,"A source type must be selected for all listed sources.")</f>
        <v>0</v>
      </c>
      <c r="AZ52" s="552">
        <f>COUNTIF(AZ37:AZ51,"A source description must be selected for all listed sources.")</f>
        <v>0</v>
      </c>
      <c r="BA52" s="552">
        <f>COUNTIF(BA40:BA51,"A source status must be selected for all listed sources.")</f>
        <v>0</v>
      </c>
      <c r="BB52" s="552">
        <f>COUNTIF(BB40:BB51,"A source name must be provided for all sources.")</f>
        <v>0</v>
      </c>
      <c r="BC52" s="552">
        <f>COUNTIF(BC36:BC51,"A source amount must be indicated for all listed sources.")</f>
        <v>0</v>
      </c>
    </row>
    <row r="53" spans="1:64" s="51" customFormat="1" ht="26.25" customHeight="1">
      <c r="A53" s="178"/>
      <c r="B53" s="178"/>
      <c r="C53" s="1811" t="s">
        <v>813</v>
      </c>
      <c r="D53" s="1812"/>
      <c r="E53" s="1812"/>
      <c r="F53" s="1812"/>
      <c r="G53" s="1812"/>
      <c r="H53" s="1812"/>
      <c r="I53" s="1812"/>
      <c r="J53" s="1812"/>
      <c r="K53" s="1812"/>
      <c r="L53" s="1812"/>
      <c r="M53" s="1812"/>
      <c r="N53" s="1812"/>
      <c r="O53" s="1812"/>
      <c r="P53" s="1813"/>
      <c r="Q53" s="434"/>
      <c r="R53" s="434"/>
      <c r="S53" s="434"/>
      <c r="T53" s="434"/>
      <c r="U53" s="434"/>
      <c r="V53" s="434"/>
      <c r="W53" s="434"/>
      <c r="X53" s="434"/>
      <c r="Y53" s="55"/>
      <c r="Z53" s="172"/>
      <c r="AA53" s="172"/>
      <c r="AB53" s="172"/>
      <c r="AC53" s="172"/>
      <c r="AD53" s="172"/>
      <c r="AE53" s="172"/>
      <c r="AF53" s="172"/>
      <c r="AG53" s="172"/>
      <c r="AH53" s="172"/>
      <c r="AI53" s="553"/>
      <c r="AJ53" s="554"/>
      <c r="AK53" s="554"/>
      <c r="AL53" s="554"/>
      <c r="AM53" s="554"/>
      <c r="AN53" s="554"/>
      <c r="AO53" s="554"/>
      <c r="AP53" s="554"/>
      <c r="AQ53" s="554"/>
      <c r="AR53" s="554"/>
      <c r="AS53" s="554"/>
      <c r="AT53" s="554"/>
      <c r="AU53" s="550"/>
      <c r="AV53" s="550"/>
      <c r="AW53" s="550"/>
      <c r="AX53" s="550"/>
      <c r="AY53" s="551" t="str">
        <f>IF(AY52&gt;0,"A source type was not selected for all listed sources.","")</f>
        <v/>
      </c>
      <c r="AZ53" s="551" t="str">
        <f>IF(AZ52&gt;0,"A source description was not selected for all listed sources.","")</f>
        <v/>
      </c>
      <c r="BA53" s="551" t="str">
        <f>IF(BA52&gt;0,"A source status was not selected for all listed sources.","")</f>
        <v/>
      </c>
      <c r="BB53" s="551" t="str">
        <f>IF(BB52&gt;0,"A source name must be provided for all sources.","")</f>
        <v/>
      </c>
      <c r="BC53" s="551" t="str">
        <f>IF(BC52&gt;0,"A source amount must be indicated for all listed sources.","")</f>
        <v/>
      </c>
      <c r="BD53" s="554"/>
      <c r="BE53" s="554"/>
      <c r="BF53" s="554"/>
      <c r="BG53" s="554"/>
      <c r="BH53" s="554"/>
      <c r="BI53" s="554"/>
      <c r="BJ53" s="554"/>
      <c r="BK53" s="554"/>
      <c r="BL53" s="554"/>
    </row>
    <row r="54" spans="1:64" ht="5.25" customHeight="1">
      <c r="AH54" s="172"/>
      <c r="AU54" s="551"/>
      <c r="AV54" s="551"/>
      <c r="AW54" s="551"/>
      <c r="AX54" s="551"/>
      <c r="AY54" s="551"/>
      <c r="AZ54" s="551"/>
      <c r="BA54" s="551"/>
      <c r="BB54" s="551"/>
    </row>
    <row r="55" spans="1:64" ht="18" customHeight="1">
      <c r="C55" s="40"/>
      <c r="D55" s="1814" t="s">
        <v>125</v>
      </c>
      <c r="E55" s="1814"/>
      <c r="F55" s="1814"/>
      <c r="G55" s="1814"/>
      <c r="H55" s="1814"/>
      <c r="I55" s="1814"/>
      <c r="J55" s="1814"/>
      <c r="K55" s="1814"/>
      <c r="L55" s="1814"/>
      <c r="M55" s="1814"/>
      <c r="N55" s="1814"/>
      <c r="O55" s="1814"/>
      <c r="P55" s="1814"/>
      <c r="Q55" s="36"/>
      <c r="R55" s="36"/>
      <c r="S55" s="36"/>
      <c r="T55" s="36"/>
      <c r="U55" s="36"/>
      <c r="V55" s="36"/>
      <c r="W55" s="250"/>
      <c r="X55" s="250"/>
      <c r="Y55" s="250"/>
      <c r="AI55" s="40">
        <f>IF(G36="",$AK$34,IF(G36=$AJ$36,$AK$34:$AK$46,IF(G36=$AJ$37,$AL$34:$AL$44,IF(G36=$AJ$38,$AM$34:$AM$42,IF(G36=$AJ$39,$AN$34:$AN$36,IF(G36=$AJ$40,$AP$34:$AP$37,IF(G36=$AJ$41,$AO$34:$AO$39)))))))</f>
        <v>0</v>
      </c>
      <c r="AM55" s="1832" t="s">
        <v>31</v>
      </c>
      <c r="AN55" s="1832"/>
      <c r="AU55" s="549"/>
      <c r="AV55" s="549"/>
      <c r="AW55" s="549"/>
      <c r="AX55" s="549"/>
      <c r="AY55" s="549"/>
      <c r="AZ55" s="549"/>
      <c r="BA55" s="549"/>
      <c r="BB55" s="549"/>
      <c r="BC55" s="8"/>
    </row>
    <row r="56" spans="1:64" ht="15" customHeight="1">
      <c r="C56" s="90"/>
      <c r="D56" s="1821" t="s">
        <v>797</v>
      </c>
      <c r="E56" s="1821"/>
      <c r="F56" s="53"/>
      <c r="G56" s="53"/>
      <c r="H56" s="53"/>
      <c r="I56" s="53"/>
      <c r="J56" s="53"/>
      <c r="K56" s="71"/>
      <c r="L56" s="54"/>
      <c r="M56" s="71"/>
      <c r="N56" s="71"/>
      <c r="O56" s="45"/>
      <c r="P56" s="45"/>
      <c r="Q56" s="71"/>
      <c r="R56" s="71"/>
      <c r="S56" s="71"/>
      <c r="T56" s="71"/>
      <c r="U56" s="71"/>
      <c r="V56" s="71"/>
      <c r="W56" s="71"/>
      <c r="X56" s="71"/>
      <c r="Y56" s="8"/>
      <c r="AI56" s="8"/>
      <c r="AU56" s="555" t="s">
        <v>825</v>
      </c>
      <c r="AV56" s="551"/>
      <c r="AW56" s="551"/>
      <c r="AX56" s="551"/>
      <c r="AY56" s="551"/>
      <c r="AZ56" s="551"/>
      <c r="BA56" s="551"/>
      <c r="BB56" s="551"/>
    </row>
    <row r="57" spans="1:64" s="76" customFormat="1" ht="13.5" customHeight="1">
      <c r="C57" s="810">
        <v>1</v>
      </c>
      <c r="D57" s="1817" t="s">
        <v>793</v>
      </c>
      <c r="E57" s="1818"/>
      <c r="F57" s="1108">
        <f>F34</f>
        <v>0</v>
      </c>
      <c r="G57" s="1109" t="s">
        <v>108</v>
      </c>
      <c r="H57" s="1109" t="s">
        <v>95</v>
      </c>
      <c r="I57" s="1022" t="s">
        <v>98</v>
      </c>
      <c r="J57" s="1089"/>
      <c r="K57" s="1090"/>
      <c r="L57" s="1091"/>
      <c r="M57" s="1092"/>
      <c r="N57" s="1093"/>
      <c r="O57" s="1094"/>
      <c r="P57" s="1092"/>
      <c r="Q57" s="1095"/>
      <c r="R57" s="229"/>
      <c r="S57" s="229"/>
      <c r="T57" s="229"/>
      <c r="U57" s="229"/>
      <c r="V57" s="229"/>
      <c r="W57" s="45"/>
      <c r="X57" s="45"/>
      <c r="Y57" s="41"/>
      <c r="Z57" s="41"/>
      <c r="AA57" s="41"/>
      <c r="AB57" s="41"/>
      <c r="AC57" s="41"/>
      <c r="AD57" s="41"/>
      <c r="AE57" s="41"/>
      <c r="AF57" s="41"/>
      <c r="AG57" s="41"/>
      <c r="AH57" s="41"/>
      <c r="AI57" s="19"/>
      <c r="AJ57" s="41"/>
      <c r="AK57" s="41"/>
      <c r="AL57" s="41"/>
      <c r="AM57" s="556" t="s">
        <v>817</v>
      </c>
      <c r="AN57" s="557" t="s">
        <v>818</v>
      </c>
      <c r="AO57" s="557" t="s">
        <v>819</v>
      </c>
      <c r="AP57" s="557" t="s">
        <v>820</v>
      </c>
      <c r="AQ57" s="558" t="s">
        <v>821</v>
      </c>
      <c r="AR57" s="558" t="s">
        <v>822</v>
      </c>
      <c r="AS57" s="558" t="s">
        <v>955</v>
      </c>
      <c r="AT57" s="41"/>
      <c r="AU57" s="559" t="s">
        <v>824</v>
      </c>
      <c r="AV57" s="559" t="s">
        <v>826</v>
      </c>
      <c r="AW57" s="559" t="s">
        <v>827</v>
      </c>
      <c r="AX57" s="559" t="s">
        <v>828</v>
      </c>
      <c r="AY57" s="555"/>
      <c r="AZ57" s="560"/>
      <c r="BA57" s="560"/>
      <c r="BB57" s="560"/>
      <c r="BC57" s="41"/>
      <c r="BD57" s="41"/>
      <c r="BE57" s="41"/>
      <c r="BF57" s="41"/>
      <c r="BG57" s="41"/>
      <c r="BH57" s="41"/>
      <c r="BI57" s="41"/>
      <c r="BJ57" s="41"/>
      <c r="BK57" s="41"/>
      <c r="BL57" s="41"/>
    </row>
    <row r="58" spans="1:64" s="76" customFormat="1" ht="13.5" customHeight="1">
      <c r="C58" s="811">
        <v>2</v>
      </c>
      <c r="D58" s="1815" t="s">
        <v>94</v>
      </c>
      <c r="E58" s="1816"/>
      <c r="F58" s="1209" t="str">
        <f>AK61</f>
        <v>$0</v>
      </c>
      <c r="G58" s="1109" t="s">
        <v>107</v>
      </c>
      <c r="H58" s="1109" t="s">
        <v>94</v>
      </c>
      <c r="I58" s="1022" t="s">
        <v>98</v>
      </c>
      <c r="J58" s="1096"/>
      <c r="K58" s="1097"/>
      <c r="L58" s="1098"/>
      <c r="M58" s="1099"/>
      <c r="N58" s="1100"/>
      <c r="O58" s="1101"/>
      <c r="P58" s="1099"/>
      <c r="Q58" s="1102"/>
      <c r="R58" s="229"/>
      <c r="S58" s="229"/>
      <c r="T58" s="229"/>
      <c r="U58" s="229"/>
      <c r="V58" s="229"/>
      <c r="W58" s="45"/>
      <c r="X58" s="45"/>
      <c r="Y58" s="41"/>
      <c r="Z58" s="41"/>
      <c r="AA58" s="41"/>
      <c r="AB58" s="41"/>
      <c r="AC58" s="41"/>
      <c r="AD58" s="41"/>
      <c r="AE58" s="41"/>
      <c r="AF58" s="41"/>
      <c r="AG58" s="41"/>
      <c r="AH58" s="41"/>
      <c r="AI58" s="19"/>
      <c r="AJ58" s="41"/>
      <c r="AK58" s="41"/>
      <c r="AL58" s="41"/>
      <c r="AM58" s="561"/>
      <c r="AN58" s="562"/>
      <c r="AO58" s="562"/>
      <c r="AP58" s="562"/>
      <c r="AQ58" s="562"/>
      <c r="AR58" s="562"/>
      <c r="AS58" s="563"/>
      <c r="AT58" s="560"/>
      <c r="AU58" s="564"/>
      <c r="AV58" s="565"/>
      <c r="AW58" s="565"/>
      <c r="AX58" s="565"/>
      <c r="AY58" s="566"/>
      <c r="AZ58" s="565"/>
      <c r="BA58" s="565"/>
      <c r="BB58" s="565"/>
      <c r="BC58" s="121"/>
      <c r="BD58" s="41"/>
      <c r="BE58" s="41"/>
      <c r="BF58" s="41"/>
      <c r="BG58" s="41"/>
      <c r="BH58" s="41"/>
      <c r="BI58" s="41"/>
      <c r="BJ58" s="41"/>
      <c r="BK58" s="41"/>
      <c r="BL58" s="41"/>
    </row>
    <row r="59" spans="1:64" s="76" customFormat="1" ht="13.5" customHeight="1">
      <c r="C59" s="811">
        <v>3</v>
      </c>
      <c r="D59" s="1803"/>
      <c r="E59" s="1804"/>
      <c r="F59" s="1066">
        <v>0</v>
      </c>
      <c r="G59" s="1067"/>
      <c r="H59" s="1067"/>
      <c r="I59" s="382"/>
      <c r="J59" s="382"/>
      <c r="K59" s="1069"/>
      <c r="L59" s="1070"/>
      <c r="M59" s="382"/>
      <c r="N59" s="382"/>
      <c r="O59" s="1103"/>
      <c r="P59" s="1105" t="str">
        <f>IFERROR(IF(AND(S59=1,J59="Conventional"),ROUND(ABS(PMT(L59/12,N59,F59)*12),0),""),"$0")</f>
        <v/>
      </c>
      <c r="Q59" s="1104"/>
      <c r="R59" s="45"/>
      <c r="S59" s="45">
        <f>IF(G59="Permanent Loan",1,0)</f>
        <v>0</v>
      </c>
      <c r="T59" s="45">
        <f>IF(AND(G59="Permanent Loan",J59="Deferred"),1,0)</f>
        <v>0</v>
      </c>
      <c r="U59" s="41">
        <f>IF(AND(G59="Permanent Loan",J59="Cash Flow"),1,0)</f>
        <v>0</v>
      </c>
      <c r="V59" s="41">
        <f t="shared" ref="V59:V72" si="34">IF(OR($V$34="No",$V$34="Select 'Yes' or 'No'"),1,0)</f>
        <v>1</v>
      </c>
      <c r="W59" s="71">
        <f>IF(AND(G59="Permanent Loan",J59="Other"),1,0)</f>
        <v>0</v>
      </c>
      <c r="X59" s="45"/>
      <c r="Y59" s="440">
        <f t="shared" ref="Y59:Y72" ca="1" si="35">TODAY()</f>
        <v>43108</v>
      </c>
      <c r="Z59" s="41"/>
      <c r="AA59" s="88">
        <f>IF(AND($H$15="Yes",G59&lt;&gt;""),1,0)</f>
        <v>0</v>
      </c>
      <c r="AB59" s="88">
        <f>IF(AND($H$15="Yes",G59&lt;&gt;"Permanent Loan"),1,0)</f>
        <v>0</v>
      </c>
      <c r="AC59" s="88">
        <f>IF(AND($H$15="Yes",G59&lt;&gt;"Construction Loan"),1,0)</f>
        <v>0</v>
      </c>
      <c r="AD59" s="88">
        <f>SUM(AA59:AC59)</f>
        <v>0</v>
      </c>
      <c r="AE59" s="88">
        <f>IF(AND(H15="Yes",G59="Permanent Loan",I59&lt;&gt;"Approved"),1,0)</f>
        <v>0</v>
      </c>
      <c r="AF59" s="88">
        <f t="shared" ref="AF59:AF72" si="36">IF(I59="",1,0)</f>
        <v>1</v>
      </c>
      <c r="AG59" s="41"/>
      <c r="AH59" s="41"/>
      <c r="AI59" s="19"/>
      <c r="AJ59" s="41"/>
      <c r="AK59" s="41"/>
      <c r="AL59" s="41"/>
      <c r="AM59" s="546">
        <f t="shared" ref="AM59:AM73" si="37">IF(AND(G35="Permanent Loan",J35&lt;&gt;"Deferred"),1,0)</f>
        <v>0</v>
      </c>
      <c r="AN59" s="546" t="str">
        <f>IF(AND(AM59=1,L35=""),1,"")</f>
        <v/>
      </c>
      <c r="AO59" s="546" t="str">
        <f t="shared" ref="AO59:AO73" si="38">IF(AND(AM59=1,M35=""),1,"")</f>
        <v/>
      </c>
      <c r="AP59" s="546" t="str">
        <f t="shared" ref="AP59:AP73" si="39">IF(AND(AM59=1,N35=""),1,"")</f>
        <v/>
      </c>
      <c r="AQ59" s="547" t="str">
        <f t="shared" ref="AQ59:AQ73" si="40">IF(AND(AM59=1,AN59=1),"An interest rate must be provided for all permanent loans.","")</f>
        <v/>
      </c>
      <c r="AR59" s="547" t="str">
        <f>IF(AND(AM59=1,AO59=1),"A term (in months) must be provided for all permanent loans.","")</f>
        <v/>
      </c>
      <c r="AS59" s="547" t="str">
        <f>IF(AND(AM59=1,AP59=1),"A loan amortization (in months) must be provided for all permanent loans.","")</f>
        <v/>
      </c>
      <c r="AT59" s="41">
        <f>MAX(AU59:AX59)</f>
        <v>0</v>
      </c>
      <c r="AU59" s="94">
        <f>IF(D35&lt;&gt;"",1,0)</f>
        <v>0</v>
      </c>
      <c r="AV59" s="94">
        <f t="shared" ref="AV59:AV73" si="41">IF(G35&lt;&gt;"",1,0)</f>
        <v>0</v>
      </c>
      <c r="AW59" s="94">
        <f t="shared" ref="AW59:AW73" si="42">IF(H35&lt;&gt;"",1,0)</f>
        <v>0</v>
      </c>
      <c r="AX59" s="94">
        <f t="shared" ref="AX59:AX73" si="43">IF(I35&lt;&gt;"",1,0)</f>
        <v>0</v>
      </c>
      <c r="AY59" s="94" t="str">
        <f>IF(AND(AT59&gt;0,AV59=0),"A source type must be selected for all listed sources.","")</f>
        <v/>
      </c>
      <c r="AZ59" s="193" t="str">
        <f>IF(AND(AT59&gt;0,AW59=0),"A source description must be selected for all listed sources.","")</f>
        <v/>
      </c>
      <c r="BA59" s="193" t="str">
        <f>IF(AND(AT59&gt;0,AX59=0),"A source status must be selected for all listed sources.","")</f>
        <v/>
      </c>
      <c r="BB59" s="121" t="str">
        <f>IF(AND(AT59&gt;0,AU59=0),"A source name must be provided for all sources.","")</f>
        <v/>
      </c>
      <c r="BC59" s="121" t="str">
        <f t="shared" ref="BC59:BC73" si="44">IF(AND(AU59=1,F35&lt;1),"A source amount must be indicated for all listed sources.","")</f>
        <v/>
      </c>
      <c r="BD59" s="41"/>
      <c r="BE59" s="41"/>
      <c r="BF59" s="41"/>
      <c r="BG59" s="41"/>
      <c r="BH59" s="41"/>
      <c r="BI59" s="41"/>
      <c r="BJ59" s="41"/>
      <c r="BK59" s="41"/>
      <c r="BL59" s="41"/>
    </row>
    <row r="60" spans="1:64" s="76" customFormat="1" ht="13.5" customHeight="1">
      <c r="C60" s="811">
        <v>4</v>
      </c>
      <c r="D60" s="1803"/>
      <c r="E60" s="1804"/>
      <c r="F60" s="1066">
        <v>0</v>
      </c>
      <c r="G60" s="1067"/>
      <c r="H60" s="1067"/>
      <c r="I60" s="382"/>
      <c r="J60" s="382"/>
      <c r="K60" s="1069"/>
      <c r="L60" s="1070"/>
      <c r="M60" s="382"/>
      <c r="N60" s="382"/>
      <c r="O60" s="1103"/>
      <c r="P60" s="1106" t="str">
        <f t="shared" ref="P60:P72" si="45">IFERROR(IF(AND(S60=1,J60="Conventional"),ROUND(ABS(PMT(L60/12,N60,F60)*12),0),""),"$0")</f>
        <v/>
      </c>
      <c r="Q60" s="1104"/>
      <c r="R60" s="45"/>
      <c r="S60" s="45">
        <f t="shared" ref="S60:S72" si="46">IF(G60="Permanent Loan",1,0)</f>
        <v>0</v>
      </c>
      <c r="T60" s="45">
        <f t="shared" ref="T60:T72" si="47">IF(AND(G60="Permanent Loan",J60="Deferred"),1,0)</f>
        <v>0</v>
      </c>
      <c r="U60" s="41">
        <f t="shared" ref="U60:U72" si="48">IF(AND(G60="Permanent Loan",J60="Cash Flow"),1,0)</f>
        <v>0</v>
      </c>
      <c r="V60" s="41">
        <f t="shared" si="34"/>
        <v>1</v>
      </c>
      <c r="W60" s="71">
        <f t="shared" ref="W60:W72" si="49">IF(AND(G60="Permanent Loan",J60="Other"),1,0)</f>
        <v>0</v>
      </c>
      <c r="X60" s="45"/>
      <c r="Y60" s="440">
        <f t="shared" ca="1" si="35"/>
        <v>43108</v>
      </c>
      <c r="Z60" s="41"/>
      <c r="AA60" s="88">
        <f t="shared" ref="AA60:AA72" si="50">IF(AND($H$15="Yes",G60&lt;&gt;""),1,0)</f>
        <v>0</v>
      </c>
      <c r="AB60" s="88">
        <f t="shared" ref="AB60:AB72" si="51">IF(AND($H$15="Yes",G60&lt;&gt;"Permanent Loan"),1,0)</f>
        <v>0</v>
      </c>
      <c r="AC60" s="88">
        <f t="shared" ref="AC60:AC72" si="52">IF(AND($H$15="Yes",G60&lt;&gt;"Construction Loan"),1,0)</f>
        <v>0</v>
      </c>
      <c r="AD60" s="88">
        <f t="shared" ref="AD60:AD72" si="53">SUM(AA60:AC60)</f>
        <v>0</v>
      </c>
      <c r="AE60" s="88">
        <f t="shared" ref="AE60:AE72" si="54">IF(AND(H16="Yes",G60="Permanent Loan",I60&lt;&gt;"Approved"),1,0)</f>
        <v>0</v>
      </c>
      <c r="AF60" s="88">
        <f t="shared" si="36"/>
        <v>1</v>
      </c>
      <c r="AG60" s="41"/>
      <c r="AH60" s="41"/>
      <c r="AI60" s="19"/>
      <c r="AJ60" s="41"/>
      <c r="AK60" s="41" t="str">
        <f>IF(AND('Project Info and Instructions'!F20="Owner-occupied",H15="Yes"),COUNTIF(F50,F73),"")</f>
        <v/>
      </c>
      <c r="AL60" s="41"/>
      <c r="AM60" s="546">
        <f t="shared" si="37"/>
        <v>0</v>
      </c>
      <c r="AN60" s="546" t="str">
        <f t="shared" ref="AN60:AN73" si="55">IF(AND(AM60=1,L36=""),1,"")</f>
        <v/>
      </c>
      <c r="AO60" s="546" t="str">
        <f t="shared" si="38"/>
        <v/>
      </c>
      <c r="AP60" s="546" t="str">
        <f t="shared" si="39"/>
        <v/>
      </c>
      <c r="AQ60" s="547" t="str">
        <f t="shared" si="40"/>
        <v/>
      </c>
      <c r="AR60" s="547" t="str">
        <f t="shared" ref="AR60:AR73" si="56">IF(AND(AM60=1,AO60=1),"A term (in months) must be provided for all permanent loans.","")</f>
        <v/>
      </c>
      <c r="AS60" s="547" t="str">
        <f t="shared" ref="AS60:AS73" si="57">IF(AND(AM60=1,AP60=1),"A loan amortization (in months) must be provided for all permanent loans.","")</f>
        <v/>
      </c>
      <c r="AT60" s="41">
        <f t="shared" ref="AT60:AT73" si="58">MAX(AU60:AX60)</f>
        <v>0</v>
      </c>
      <c r="AU60" s="94">
        <f t="shared" ref="AU60:AU73" si="59">IF(D36&lt;&gt;"",1,0)</f>
        <v>0</v>
      </c>
      <c r="AV60" s="94">
        <f t="shared" si="41"/>
        <v>0</v>
      </c>
      <c r="AW60" s="94">
        <f t="shared" si="42"/>
        <v>0</v>
      </c>
      <c r="AX60" s="94">
        <f t="shared" si="43"/>
        <v>0</v>
      </c>
      <c r="AY60" s="546" t="str">
        <f t="shared" ref="AY60:AY73" si="60">IF(AND(AT60&gt;0,AV60=0),"A source type must be selected for all listed sources.","")</f>
        <v/>
      </c>
      <c r="AZ60" s="193" t="str">
        <f t="shared" ref="AZ60:AZ73" si="61">IF(AND(AT60&gt;0,AW60=0),"A source description must be selected for all listed sources.","")</f>
        <v/>
      </c>
      <c r="BA60" s="193" t="str">
        <f t="shared" ref="BA60:BA73" si="62">IF(AND(AT60&gt;0,AX60=0),"A source status must be selected for all listed sources.","")</f>
        <v/>
      </c>
      <c r="BB60" s="121" t="str">
        <f t="shared" ref="BB60:BB73" si="63">IF(AND(AT60&gt;0,AU60=0),"A source name must be provided for all sources.","")</f>
        <v/>
      </c>
      <c r="BC60" s="121" t="str">
        <f>IF(AND(AU60=1,F36&lt;1),"A source amount must be indicated for all listed sources.","")</f>
        <v/>
      </c>
      <c r="BD60" s="41"/>
      <c r="BE60" s="41"/>
      <c r="BF60" s="41"/>
      <c r="BG60" s="41"/>
      <c r="BH60" s="41"/>
      <c r="BI60" s="41"/>
      <c r="BJ60" s="41"/>
      <c r="BK60" s="41"/>
      <c r="BL60" s="41"/>
    </row>
    <row r="61" spans="1:64" s="76" customFormat="1" ht="13.5" customHeight="1">
      <c r="C61" s="811">
        <v>5</v>
      </c>
      <c r="D61" s="1803"/>
      <c r="E61" s="1804"/>
      <c r="F61" s="1066">
        <v>0</v>
      </c>
      <c r="G61" s="1067"/>
      <c r="H61" s="1067"/>
      <c r="I61" s="382"/>
      <c r="J61" s="382"/>
      <c r="K61" s="1069"/>
      <c r="L61" s="1070"/>
      <c r="M61" s="382"/>
      <c r="N61" s="382"/>
      <c r="O61" s="1103"/>
      <c r="P61" s="1106" t="str">
        <f t="shared" si="45"/>
        <v/>
      </c>
      <c r="Q61" s="1104"/>
      <c r="R61" s="45"/>
      <c r="S61" s="45">
        <f t="shared" si="46"/>
        <v>0</v>
      </c>
      <c r="T61" s="45">
        <f t="shared" si="47"/>
        <v>0</v>
      </c>
      <c r="U61" s="41">
        <f t="shared" si="48"/>
        <v>0</v>
      </c>
      <c r="V61" s="41">
        <f t="shared" si="34"/>
        <v>1</v>
      </c>
      <c r="W61" s="71">
        <f t="shared" si="49"/>
        <v>0</v>
      </c>
      <c r="X61" s="45"/>
      <c r="Y61" s="440">
        <f t="shared" ca="1" si="35"/>
        <v>43108</v>
      </c>
      <c r="Z61" s="41"/>
      <c r="AA61" s="88">
        <f t="shared" si="50"/>
        <v>0</v>
      </c>
      <c r="AB61" s="88">
        <f t="shared" si="51"/>
        <v>0</v>
      </c>
      <c r="AC61" s="88">
        <f t="shared" si="52"/>
        <v>0</v>
      </c>
      <c r="AD61" s="88">
        <f t="shared" si="53"/>
        <v>0</v>
      </c>
      <c r="AE61" s="88">
        <f t="shared" si="54"/>
        <v>0</v>
      </c>
      <c r="AF61" s="88">
        <f t="shared" si="36"/>
        <v>1</v>
      </c>
      <c r="AG61" s="41"/>
      <c r="AH61" s="41"/>
      <c r="AI61" s="19"/>
      <c r="AJ61" s="41"/>
      <c r="AK61" s="1208" t="str">
        <f>'G-Sponsor Provided Financing'!F22</f>
        <v>$0</v>
      </c>
      <c r="AL61" s="41"/>
      <c r="AM61" s="546">
        <f t="shared" si="37"/>
        <v>0</v>
      </c>
      <c r="AN61" s="546" t="str">
        <f t="shared" si="55"/>
        <v/>
      </c>
      <c r="AO61" s="546" t="str">
        <f t="shared" si="38"/>
        <v/>
      </c>
      <c r="AP61" s="546" t="str">
        <f t="shared" si="39"/>
        <v/>
      </c>
      <c r="AQ61" s="547" t="str">
        <f t="shared" si="40"/>
        <v/>
      </c>
      <c r="AR61" s="547" t="str">
        <f t="shared" si="56"/>
        <v/>
      </c>
      <c r="AS61" s="547" t="str">
        <f t="shared" si="57"/>
        <v/>
      </c>
      <c r="AT61" s="41">
        <f t="shared" si="58"/>
        <v>0</v>
      </c>
      <c r="AU61" s="94">
        <f t="shared" si="59"/>
        <v>0</v>
      </c>
      <c r="AV61" s="94">
        <f t="shared" si="41"/>
        <v>0</v>
      </c>
      <c r="AW61" s="94">
        <f t="shared" si="42"/>
        <v>0</v>
      </c>
      <c r="AX61" s="94">
        <f t="shared" si="43"/>
        <v>0</v>
      </c>
      <c r="AY61" s="546" t="str">
        <f t="shared" si="60"/>
        <v/>
      </c>
      <c r="AZ61" s="193" t="str">
        <f>IF(AND(AT61&gt;0,AW61=0),"A source description must be selected for all listed sources.","")</f>
        <v/>
      </c>
      <c r="BA61" s="193" t="str">
        <f t="shared" si="62"/>
        <v/>
      </c>
      <c r="BB61" s="121" t="str">
        <f>IF(AND(AT61&gt;0,AU61=0),"A source name must be provided for all sources.","")</f>
        <v/>
      </c>
      <c r="BC61" s="121" t="str">
        <f t="shared" si="44"/>
        <v/>
      </c>
      <c r="BD61" s="41"/>
      <c r="BE61" s="41"/>
      <c r="BF61" s="41"/>
      <c r="BG61" s="41"/>
      <c r="BH61" s="41"/>
      <c r="BI61" s="41"/>
      <c r="BJ61" s="41"/>
      <c r="BK61" s="41"/>
      <c r="BL61" s="41"/>
    </row>
    <row r="62" spans="1:64" s="76" customFormat="1" ht="13.5" customHeight="1">
      <c r="C62" s="811">
        <v>6</v>
      </c>
      <c r="D62" s="1803"/>
      <c r="E62" s="1804"/>
      <c r="F62" s="1066">
        <v>0</v>
      </c>
      <c r="G62" s="1067"/>
      <c r="H62" s="1067"/>
      <c r="I62" s="382"/>
      <c r="J62" s="382"/>
      <c r="K62" s="1069"/>
      <c r="L62" s="1070"/>
      <c r="M62" s="382"/>
      <c r="N62" s="382"/>
      <c r="O62" s="1103"/>
      <c r="P62" s="1106" t="str">
        <f t="shared" si="45"/>
        <v/>
      </c>
      <c r="Q62" s="1104"/>
      <c r="R62" s="45"/>
      <c r="S62" s="45">
        <f t="shared" si="46"/>
        <v>0</v>
      </c>
      <c r="T62" s="45">
        <f t="shared" si="47"/>
        <v>0</v>
      </c>
      <c r="U62" s="41">
        <f t="shared" si="48"/>
        <v>0</v>
      </c>
      <c r="V62" s="41">
        <f t="shared" si="34"/>
        <v>1</v>
      </c>
      <c r="W62" s="71">
        <f t="shared" si="49"/>
        <v>0</v>
      </c>
      <c r="X62" s="45"/>
      <c r="Y62" s="440">
        <f t="shared" ca="1" si="35"/>
        <v>43108</v>
      </c>
      <c r="Z62" s="41"/>
      <c r="AA62" s="88">
        <f t="shared" si="50"/>
        <v>0</v>
      </c>
      <c r="AB62" s="88">
        <f t="shared" si="51"/>
        <v>0</v>
      </c>
      <c r="AC62" s="88">
        <f t="shared" si="52"/>
        <v>0</v>
      </c>
      <c r="AD62" s="88">
        <f t="shared" si="53"/>
        <v>0</v>
      </c>
      <c r="AE62" s="88">
        <f t="shared" si="54"/>
        <v>0</v>
      </c>
      <c r="AF62" s="88">
        <f t="shared" si="36"/>
        <v>1</v>
      </c>
      <c r="AG62" s="41"/>
      <c r="AH62" s="41"/>
      <c r="AI62" s="19"/>
      <c r="AJ62" s="41"/>
      <c r="AK62" s="41"/>
      <c r="AL62" s="41"/>
      <c r="AM62" s="546">
        <f t="shared" si="37"/>
        <v>0</v>
      </c>
      <c r="AN62" s="546" t="str">
        <f t="shared" si="55"/>
        <v/>
      </c>
      <c r="AO62" s="546" t="str">
        <f t="shared" si="38"/>
        <v/>
      </c>
      <c r="AP62" s="546" t="str">
        <f t="shared" si="39"/>
        <v/>
      </c>
      <c r="AQ62" s="547" t="str">
        <f t="shared" si="40"/>
        <v/>
      </c>
      <c r="AR62" s="547" t="str">
        <f>IF(AND(AM62=1,AO62=1),"A term (in months) must be provided for all permanent loans.","")</f>
        <v/>
      </c>
      <c r="AS62" s="547" t="str">
        <f>IF(AND(AM62=1,AP62=1),"A loan amortization (in months) must be provided for all permanent loans.","")</f>
        <v/>
      </c>
      <c r="AT62" s="41">
        <f t="shared" si="58"/>
        <v>0</v>
      </c>
      <c r="AU62" s="94">
        <f t="shared" si="59"/>
        <v>0</v>
      </c>
      <c r="AV62" s="94">
        <f t="shared" si="41"/>
        <v>0</v>
      </c>
      <c r="AW62" s="94">
        <f t="shared" si="42"/>
        <v>0</v>
      </c>
      <c r="AX62" s="94">
        <f t="shared" si="43"/>
        <v>0</v>
      </c>
      <c r="AY62" s="546" t="str">
        <f t="shared" si="60"/>
        <v/>
      </c>
      <c r="AZ62" s="193" t="str">
        <f t="shared" si="61"/>
        <v/>
      </c>
      <c r="BA62" s="193" t="str">
        <f t="shared" si="62"/>
        <v/>
      </c>
      <c r="BB62" s="121" t="str">
        <f t="shared" si="63"/>
        <v/>
      </c>
      <c r="BC62" s="121" t="str">
        <f t="shared" si="44"/>
        <v/>
      </c>
      <c r="BD62" s="41"/>
      <c r="BE62" s="41"/>
      <c r="BF62" s="41"/>
      <c r="BG62" s="41"/>
      <c r="BH62" s="41"/>
      <c r="BI62" s="41"/>
      <c r="BJ62" s="41"/>
      <c r="BK62" s="41"/>
      <c r="BL62" s="41"/>
    </row>
    <row r="63" spans="1:64" s="76" customFormat="1" ht="13.5" customHeight="1">
      <c r="C63" s="811">
        <v>7</v>
      </c>
      <c r="D63" s="1803"/>
      <c r="E63" s="1804"/>
      <c r="F63" s="1066">
        <v>0</v>
      </c>
      <c r="G63" s="1067"/>
      <c r="H63" s="1067"/>
      <c r="I63" s="382"/>
      <c r="J63" s="382"/>
      <c r="K63" s="1069"/>
      <c r="L63" s="1070"/>
      <c r="M63" s="382"/>
      <c r="N63" s="382"/>
      <c r="O63" s="1103"/>
      <c r="P63" s="1106" t="str">
        <f t="shared" si="45"/>
        <v/>
      </c>
      <c r="Q63" s="1104"/>
      <c r="R63" s="45"/>
      <c r="S63" s="45">
        <f t="shared" si="46"/>
        <v>0</v>
      </c>
      <c r="T63" s="45">
        <f t="shared" si="47"/>
        <v>0</v>
      </c>
      <c r="U63" s="41">
        <f t="shared" si="48"/>
        <v>0</v>
      </c>
      <c r="V63" s="41">
        <f t="shared" si="34"/>
        <v>1</v>
      </c>
      <c r="W63" s="71">
        <f t="shared" si="49"/>
        <v>0</v>
      </c>
      <c r="X63" s="45"/>
      <c r="Y63" s="440">
        <f t="shared" ca="1" si="35"/>
        <v>43108</v>
      </c>
      <c r="Z63" s="41"/>
      <c r="AA63" s="88">
        <f t="shared" si="50"/>
        <v>0</v>
      </c>
      <c r="AB63" s="88">
        <f t="shared" si="51"/>
        <v>0</v>
      </c>
      <c r="AC63" s="88">
        <f t="shared" si="52"/>
        <v>0</v>
      </c>
      <c r="AD63" s="88">
        <f t="shared" si="53"/>
        <v>0</v>
      </c>
      <c r="AE63" s="88">
        <f t="shared" si="54"/>
        <v>0</v>
      </c>
      <c r="AF63" s="88">
        <f t="shared" si="36"/>
        <v>1</v>
      </c>
      <c r="AG63" s="41"/>
      <c r="AH63" s="41"/>
      <c r="AI63" s="19"/>
      <c r="AJ63" s="41"/>
      <c r="AK63" s="41"/>
      <c r="AL63" s="41"/>
      <c r="AM63" s="546">
        <f t="shared" si="37"/>
        <v>0</v>
      </c>
      <c r="AN63" s="546" t="str">
        <f t="shared" si="55"/>
        <v/>
      </c>
      <c r="AO63" s="546" t="str">
        <f t="shared" si="38"/>
        <v/>
      </c>
      <c r="AP63" s="546" t="str">
        <f t="shared" si="39"/>
        <v/>
      </c>
      <c r="AQ63" s="547" t="str">
        <f t="shared" si="40"/>
        <v/>
      </c>
      <c r="AR63" s="547" t="str">
        <f t="shared" si="56"/>
        <v/>
      </c>
      <c r="AS63" s="547" t="str">
        <f t="shared" si="57"/>
        <v/>
      </c>
      <c r="AT63" s="41">
        <f t="shared" si="58"/>
        <v>0</v>
      </c>
      <c r="AU63" s="94">
        <f t="shared" si="59"/>
        <v>0</v>
      </c>
      <c r="AV63" s="94">
        <f t="shared" si="41"/>
        <v>0</v>
      </c>
      <c r="AW63" s="94">
        <f t="shared" si="42"/>
        <v>0</v>
      </c>
      <c r="AX63" s="94">
        <f t="shared" si="43"/>
        <v>0</v>
      </c>
      <c r="AY63" s="546" t="str">
        <f t="shared" si="60"/>
        <v/>
      </c>
      <c r="AZ63" s="193" t="str">
        <f t="shared" si="61"/>
        <v/>
      </c>
      <c r="BA63" s="193" t="str">
        <f t="shared" si="62"/>
        <v/>
      </c>
      <c r="BB63" s="121" t="str">
        <f t="shared" si="63"/>
        <v/>
      </c>
      <c r="BC63" s="121" t="str">
        <f t="shared" si="44"/>
        <v/>
      </c>
      <c r="BD63" s="41"/>
      <c r="BE63" s="41"/>
      <c r="BF63" s="41"/>
      <c r="BG63" s="41"/>
      <c r="BH63" s="41"/>
      <c r="BI63" s="41"/>
      <c r="BJ63" s="41"/>
      <c r="BK63" s="41"/>
      <c r="BL63" s="41"/>
    </row>
    <row r="64" spans="1:64" s="76" customFormat="1" ht="13.5" customHeight="1">
      <c r="C64" s="811">
        <v>8</v>
      </c>
      <c r="D64" s="1803"/>
      <c r="E64" s="1804"/>
      <c r="F64" s="1066">
        <v>0</v>
      </c>
      <c r="G64" s="1067"/>
      <c r="H64" s="1067"/>
      <c r="I64" s="382"/>
      <c r="J64" s="382"/>
      <c r="K64" s="1069"/>
      <c r="L64" s="1070"/>
      <c r="M64" s="382"/>
      <c r="N64" s="382"/>
      <c r="O64" s="1103"/>
      <c r="P64" s="1106" t="str">
        <f t="shared" si="45"/>
        <v/>
      </c>
      <c r="Q64" s="1104"/>
      <c r="R64" s="45"/>
      <c r="S64" s="45">
        <f t="shared" si="46"/>
        <v>0</v>
      </c>
      <c r="T64" s="45">
        <f t="shared" si="47"/>
        <v>0</v>
      </c>
      <c r="U64" s="41">
        <f t="shared" si="48"/>
        <v>0</v>
      </c>
      <c r="V64" s="41">
        <f t="shared" si="34"/>
        <v>1</v>
      </c>
      <c r="W64" s="71">
        <f t="shared" si="49"/>
        <v>0</v>
      </c>
      <c r="X64" s="45"/>
      <c r="Y64" s="440">
        <f t="shared" ca="1" si="35"/>
        <v>43108</v>
      </c>
      <c r="Z64" s="41"/>
      <c r="AA64" s="88">
        <f t="shared" si="50"/>
        <v>0</v>
      </c>
      <c r="AB64" s="88">
        <f t="shared" si="51"/>
        <v>0</v>
      </c>
      <c r="AC64" s="88">
        <f t="shared" si="52"/>
        <v>0</v>
      </c>
      <c r="AD64" s="88">
        <f t="shared" si="53"/>
        <v>0</v>
      </c>
      <c r="AE64" s="88">
        <f t="shared" si="54"/>
        <v>0</v>
      </c>
      <c r="AF64" s="88">
        <f t="shared" si="36"/>
        <v>1</v>
      </c>
      <c r="AG64" s="41"/>
      <c r="AH64" s="41"/>
      <c r="AI64" s="19"/>
      <c r="AJ64" s="41"/>
      <c r="AK64" s="41"/>
      <c r="AL64" s="41"/>
      <c r="AM64" s="546">
        <f t="shared" si="37"/>
        <v>0</v>
      </c>
      <c r="AN64" s="546" t="str">
        <f t="shared" si="55"/>
        <v/>
      </c>
      <c r="AO64" s="546" t="str">
        <f t="shared" si="38"/>
        <v/>
      </c>
      <c r="AP64" s="546" t="str">
        <f t="shared" si="39"/>
        <v/>
      </c>
      <c r="AQ64" s="547" t="str">
        <f t="shared" si="40"/>
        <v/>
      </c>
      <c r="AR64" s="547" t="str">
        <f t="shared" si="56"/>
        <v/>
      </c>
      <c r="AS64" s="547" t="str">
        <f t="shared" si="57"/>
        <v/>
      </c>
      <c r="AT64" s="41">
        <f t="shared" si="58"/>
        <v>0</v>
      </c>
      <c r="AU64" s="94">
        <f t="shared" si="59"/>
        <v>0</v>
      </c>
      <c r="AV64" s="94">
        <f t="shared" si="41"/>
        <v>0</v>
      </c>
      <c r="AW64" s="94">
        <f t="shared" si="42"/>
        <v>0</v>
      </c>
      <c r="AX64" s="94">
        <f t="shared" si="43"/>
        <v>0</v>
      </c>
      <c r="AY64" s="546" t="str">
        <f t="shared" si="60"/>
        <v/>
      </c>
      <c r="AZ64" s="193" t="str">
        <f t="shared" si="61"/>
        <v/>
      </c>
      <c r="BA64" s="193" t="str">
        <f t="shared" si="62"/>
        <v/>
      </c>
      <c r="BB64" s="121" t="str">
        <f t="shared" si="63"/>
        <v/>
      </c>
      <c r="BC64" s="121" t="str">
        <f t="shared" si="44"/>
        <v/>
      </c>
      <c r="BD64" s="41"/>
      <c r="BE64" s="41"/>
      <c r="BF64" s="41"/>
      <c r="BG64" s="41"/>
      <c r="BH64" s="41"/>
      <c r="BI64" s="41"/>
      <c r="BJ64" s="41"/>
      <c r="BK64" s="41"/>
      <c r="BL64" s="41"/>
    </row>
    <row r="65" spans="3:64" s="76" customFormat="1" ht="13.5" customHeight="1">
      <c r="C65" s="811">
        <v>9</v>
      </c>
      <c r="D65" s="1803"/>
      <c r="E65" s="1804"/>
      <c r="F65" s="1066">
        <v>0</v>
      </c>
      <c r="G65" s="1067"/>
      <c r="H65" s="1067"/>
      <c r="I65" s="382"/>
      <c r="J65" s="382"/>
      <c r="K65" s="1069"/>
      <c r="L65" s="1070"/>
      <c r="M65" s="382"/>
      <c r="N65" s="382"/>
      <c r="O65" s="1103"/>
      <c r="P65" s="1106" t="str">
        <f t="shared" si="45"/>
        <v/>
      </c>
      <c r="Q65" s="1104"/>
      <c r="R65" s="45"/>
      <c r="S65" s="45">
        <f t="shared" si="46"/>
        <v>0</v>
      </c>
      <c r="T65" s="45">
        <f t="shared" si="47"/>
        <v>0</v>
      </c>
      <c r="U65" s="41">
        <f t="shared" si="48"/>
        <v>0</v>
      </c>
      <c r="V65" s="41">
        <f t="shared" si="34"/>
        <v>1</v>
      </c>
      <c r="W65" s="71">
        <f t="shared" si="49"/>
        <v>0</v>
      </c>
      <c r="X65" s="45"/>
      <c r="Y65" s="440">
        <f t="shared" ca="1" si="35"/>
        <v>43108</v>
      </c>
      <c r="Z65" s="41"/>
      <c r="AA65" s="88">
        <f t="shared" si="50"/>
        <v>0</v>
      </c>
      <c r="AB65" s="88">
        <f t="shared" si="51"/>
        <v>0</v>
      </c>
      <c r="AC65" s="88">
        <f t="shared" si="52"/>
        <v>0</v>
      </c>
      <c r="AD65" s="88">
        <f t="shared" si="53"/>
        <v>0</v>
      </c>
      <c r="AE65" s="88">
        <f t="shared" si="54"/>
        <v>0</v>
      </c>
      <c r="AF65" s="88">
        <f t="shared" si="36"/>
        <v>1</v>
      </c>
      <c r="AG65" s="41"/>
      <c r="AH65" s="41"/>
      <c r="AI65" s="19"/>
      <c r="AJ65" s="41"/>
      <c r="AK65" s="41"/>
      <c r="AL65" s="41"/>
      <c r="AM65" s="546">
        <f t="shared" si="37"/>
        <v>0</v>
      </c>
      <c r="AN65" s="546" t="str">
        <f t="shared" si="55"/>
        <v/>
      </c>
      <c r="AO65" s="546" t="str">
        <f t="shared" si="38"/>
        <v/>
      </c>
      <c r="AP65" s="546" t="str">
        <f t="shared" si="39"/>
        <v/>
      </c>
      <c r="AQ65" s="547" t="str">
        <f t="shared" si="40"/>
        <v/>
      </c>
      <c r="AR65" s="547" t="str">
        <f t="shared" si="56"/>
        <v/>
      </c>
      <c r="AS65" s="547" t="str">
        <f t="shared" si="57"/>
        <v/>
      </c>
      <c r="AT65" s="41">
        <f t="shared" si="58"/>
        <v>0</v>
      </c>
      <c r="AU65" s="94">
        <f t="shared" si="59"/>
        <v>0</v>
      </c>
      <c r="AV65" s="94">
        <f t="shared" si="41"/>
        <v>0</v>
      </c>
      <c r="AW65" s="94">
        <f t="shared" si="42"/>
        <v>0</v>
      </c>
      <c r="AX65" s="94">
        <f t="shared" si="43"/>
        <v>0</v>
      </c>
      <c r="AY65" s="546" t="str">
        <f t="shared" si="60"/>
        <v/>
      </c>
      <c r="AZ65" s="193" t="str">
        <f t="shared" si="61"/>
        <v/>
      </c>
      <c r="BA65" s="193" t="str">
        <f t="shared" si="62"/>
        <v/>
      </c>
      <c r="BB65" s="121" t="str">
        <f t="shared" si="63"/>
        <v/>
      </c>
      <c r="BC65" s="121" t="str">
        <f t="shared" si="44"/>
        <v/>
      </c>
      <c r="BD65" s="41"/>
      <c r="BE65" s="41"/>
      <c r="BF65" s="41"/>
      <c r="BG65" s="41"/>
      <c r="BH65" s="41"/>
      <c r="BI65" s="41"/>
      <c r="BJ65" s="41"/>
      <c r="BK65" s="41"/>
      <c r="BL65" s="41"/>
    </row>
    <row r="66" spans="3:64" s="76" customFormat="1" ht="13.5" customHeight="1">
      <c r="C66" s="811">
        <v>10</v>
      </c>
      <c r="D66" s="1803"/>
      <c r="E66" s="1804"/>
      <c r="F66" s="1066">
        <v>0</v>
      </c>
      <c r="G66" s="1067"/>
      <c r="H66" s="1067"/>
      <c r="I66" s="382"/>
      <c r="J66" s="382"/>
      <c r="K66" s="1069"/>
      <c r="L66" s="1070"/>
      <c r="M66" s="382"/>
      <c r="N66" s="382"/>
      <c r="O66" s="1103"/>
      <c r="P66" s="1106" t="str">
        <f t="shared" si="45"/>
        <v/>
      </c>
      <c r="Q66" s="1104"/>
      <c r="R66" s="45"/>
      <c r="S66" s="45">
        <f t="shared" si="46"/>
        <v>0</v>
      </c>
      <c r="T66" s="45">
        <f t="shared" si="47"/>
        <v>0</v>
      </c>
      <c r="U66" s="41">
        <f t="shared" si="48"/>
        <v>0</v>
      </c>
      <c r="V66" s="41">
        <f t="shared" si="34"/>
        <v>1</v>
      </c>
      <c r="W66" s="71">
        <f t="shared" si="49"/>
        <v>0</v>
      </c>
      <c r="X66" s="45"/>
      <c r="Y66" s="440">
        <f t="shared" ca="1" si="35"/>
        <v>43108</v>
      </c>
      <c r="Z66" s="81"/>
      <c r="AA66" s="88">
        <f t="shared" si="50"/>
        <v>0</v>
      </c>
      <c r="AB66" s="88">
        <f t="shared" si="51"/>
        <v>0</v>
      </c>
      <c r="AC66" s="88">
        <f t="shared" si="52"/>
        <v>0</v>
      </c>
      <c r="AD66" s="88">
        <f t="shared" si="53"/>
        <v>0</v>
      </c>
      <c r="AE66" s="88">
        <f t="shared" si="54"/>
        <v>0</v>
      </c>
      <c r="AF66" s="88">
        <f t="shared" si="36"/>
        <v>1</v>
      </c>
      <c r="AG66" s="41"/>
      <c r="AH66" s="41"/>
      <c r="AI66" s="19"/>
      <c r="AJ66" s="41"/>
      <c r="AK66" s="567"/>
      <c r="AL66" s="41"/>
      <c r="AM66" s="546">
        <f t="shared" si="37"/>
        <v>0</v>
      </c>
      <c r="AN66" s="546" t="str">
        <f t="shared" si="55"/>
        <v/>
      </c>
      <c r="AO66" s="546" t="str">
        <f t="shared" si="38"/>
        <v/>
      </c>
      <c r="AP66" s="546" t="str">
        <f t="shared" si="39"/>
        <v/>
      </c>
      <c r="AQ66" s="547" t="str">
        <f t="shared" si="40"/>
        <v/>
      </c>
      <c r="AR66" s="547" t="str">
        <f t="shared" si="56"/>
        <v/>
      </c>
      <c r="AS66" s="547" t="str">
        <f t="shared" si="57"/>
        <v/>
      </c>
      <c r="AT66" s="41">
        <f t="shared" si="58"/>
        <v>0</v>
      </c>
      <c r="AU66" s="94">
        <f t="shared" si="59"/>
        <v>0</v>
      </c>
      <c r="AV66" s="94">
        <f t="shared" si="41"/>
        <v>0</v>
      </c>
      <c r="AW66" s="94">
        <f t="shared" si="42"/>
        <v>0</v>
      </c>
      <c r="AX66" s="94">
        <f t="shared" si="43"/>
        <v>0</v>
      </c>
      <c r="AY66" s="546" t="str">
        <f t="shared" si="60"/>
        <v/>
      </c>
      <c r="AZ66" s="193" t="str">
        <f t="shared" si="61"/>
        <v/>
      </c>
      <c r="BA66" s="193" t="str">
        <f t="shared" si="62"/>
        <v/>
      </c>
      <c r="BB66" s="121" t="str">
        <f t="shared" si="63"/>
        <v/>
      </c>
      <c r="BC66" s="121" t="str">
        <f t="shared" si="44"/>
        <v/>
      </c>
      <c r="BD66" s="41"/>
      <c r="BE66" s="41"/>
      <c r="BF66" s="41"/>
      <c r="BG66" s="41"/>
      <c r="BH66" s="41"/>
      <c r="BI66" s="41"/>
      <c r="BJ66" s="41"/>
      <c r="BK66" s="41"/>
      <c r="BL66" s="41"/>
    </row>
    <row r="67" spans="3:64" s="76" customFormat="1" ht="13.5" customHeight="1">
      <c r="C67" s="811">
        <v>11</v>
      </c>
      <c r="D67" s="1803"/>
      <c r="E67" s="1804"/>
      <c r="F67" s="1066">
        <v>0</v>
      </c>
      <c r="G67" s="1067"/>
      <c r="H67" s="1067"/>
      <c r="I67" s="382"/>
      <c r="J67" s="382"/>
      <c r="K67" s="1069"/>
      <c r="L67" s="1070"/>
      <c r="M67" s="382"/>
      <c r="N67" s="382"/>
      <c r="O67" s="1103"/>
      <c r="P67" s="1106" t="str">
        <f t="shared" si="45"/>
        <v/>
      </c>
      <c r="Q67" s="1104"/>
      <c r="R67" s="45"/>
      <c r="S67" s="45">
        <f t="shared" si="46"/>
        <v>0</v>
      </c>
      <c r="T67" s="45">
        <f t="shared" si="47"/>
        <v>0</v>
      </c>
      <c r="U67" s="41">
        <f t="shared" si="48"/>
        <v>0</v>
      </c>
      <c r="V67" s="41">
        <f t="shared" si="34"/>
        <v>1</v>
      </c>
      <c r="W67" s="71">
        <f t="shared" si="49"/>
        <v>0</v>
      </c>
      <c r="X67" s="45"/>
      <c r="Y67" s="440">
        <f t="shared" ca="1" si="35"/>
        <v>43108</v>
      </c>
      <c r="Z67" s="41"/>
      <c r="AA67" s="88">
        <f>IF(AND($H$15="Yes",G67&lt;&gt;""),1,0)</f>
        <v>0</v>
      </c>
      <c r="AB67" s="88">
        <f t="shared" si="51"/>
        <v>0</v>
      </c>
      <c r="AC67" s="88">
        <f t="shared" si="52"/>
        <v>0</v>
      </c>
      <c r="AD67" s="88">
        <f t="shared" si="53"/>
        <v>0</v>
      </c>
      <c r="AE67" s="88">
        <f t="shared" si="54"/>
        <v>0</v>
      </c>
      <c r="AF67" s="88">
        <f t="shared" si="36"/>
        <v>1</v>
      </c>
      <c r="AG67" s="41"/>
      <c r="AH67" s="41"/>
      <c r="AI67" s="19"/>
      <c r="AJ67" s="41"/>
      <c r="AK67" s="567"/>
      <c r="AL67" s="41"/>
      <c r="AM67" s="546">
        <f t="shared" si="37"/>
        <v>0</v>
      </c>
      <c r="AN67" s="546" t="str">
        <f t="shared" si="55"/>
        <v/>
      </c>
      <c r="AO67" s="546" t="str">
        <f t="shared" si="38"/>
        <v/>
      </c>
      <c r="AP67" s="546" t="str">
        <f t="shared" si="39"/>
        <v/>
      </c>
      <c r="AQ67" s="547" t="str">
        <f t="shared" si="40"/>
        <v/>
      </c>
      <c r="AR67" s="547" t="str">
        <f t="shared" si="56"/>
        <v/>
      </c>
      <c r="AS67" s="547" t="str">
        <f t="shared" si="57"/>
        <v/>
      </c>
      <c r="AT67" s="41">
        <f t="shared" si="58"/>
        <v>0</v>
      </c>
      <c r="AU67" s="94">
        <f t="shared" si="59"/>
        <v>0</v>
      </c>
      <c r="AV67" s="94">
        <f t="shared" si="41"/>
        <v>0</v>
      </c>
      <c r="AW67" s="94">
        <f t="shared" si="42"/>
        <v>0</v>
      </c>
      <c r="AX67" s="94">
        <f t="shared" si="43"/>
        <v>0</v>
      </c>
      <c r="AY67" s="546" t="str">
        <f t="shared" si="60"/>
        <v/>
      </c>
      <c r="AZ67" s="193" t="str">
        <f t="shared" si="61"/>
        <v/>
      </c>
      <c r="BA67" s="193" t="str">
        <f t="shared" si="62"/>
        <v/>
      </c>
      <c r="BB67" s="121" t="str">
        <f t="shared" si="63"/>
        <v/>
      </c>
      <c r="BC67" s="121" t="str">
        <f t="shared" si="44"/>
        <v/>
      </c>
      <c r="BD67" s="41"/>
      <c r="BE67" s="41"/>
      <c r="BF67" s="41"/>
      <c r="BG67" s="41"/>
      <c r="BH67" s="41"/>
      <c r="BI67" s="41"/>
      <c r="BJ67" s="41"/>
      <c r="BK67" s="41"/>
      <c r="BL67" s="41"/>
    </row>
    <row r="68" spans="3:64" s="76" customFormat="1" ht="13.5" customHeight="1">
      <c r="C68" s="811">
        <v>12</v>
      </c>
      <c r="D68" s="1803"/>
      <c r="E68" s="1804"/>
      <c r="F68" s="1066">
        <v>0</v>
      </c>
      <c r="G68" s="1067"/>
      <c r="H68" s="1067"/>
      <c r="I68" s="382"/>
      <c r="J68" s="382"/>
      <c r="K68" s="1069"/>
      <c r="L68" s="1070"/>
      <c r="M68" s="382"/>
      <c r="N68" s="382"/>
      <c r="O68" s="1103"/>
      <c r="P68" s="1106" t="str">
        <f t="shared" si="45"/>
        <v/>
      </c>
      <c r="Q68" s="1104"/>
      <c r="R68" s="45"/>
      <c r="S68" s="45">
        <f t="shared" si="46"/>
        <v>0</v>
      </c>
      <c r="T68" s="45">
        <f t="shared" si="47"/>
        <v>0</v>
      </c>
      <c r="U68" s="41">
        <f t="shared" si="48"/>
        <v>0</v>
      </c>
      <c r="V68" s="41">
        <f t="shared" si="34"/>
        <v>1</v>
      </c>
      <c r="W68" s="71">
        <f t="shared" si="49"/>
        <v>0</v>
      </c>
      <c r="X68" s="45"/>
      <c r="Y68" s="440">
        <f t="shared" ca="1" si="35"/>
        <v>43108</v>
      </c>
      <c r="Z68" s="41"/>
      <c r="AA68" s="88">
        <f t="shared" si="50"/>
        <v>0</v>
      </c>
      <c r="AB68" s="88">
        <f t="shared" si="51"/>
        <v>0</v>
      </c>
      <c r="AC68" s="88">
        <f t="shared" si="52"/>
        <v>0</v>
      </c>
      <c r="AD68" s="88">
        <f t="shared" si="53"/>
        <v>0</v>
      </c>
      <c r="AE68" s="88">
        <f t="shared" si="54"/>
        <v>0</v>
      </c>
      <c r="AF68" s="88">
        <f t="shared" si="36"/>
        <v>1</v>
      </c>
      <c r="AG68" s="41"/>
      <c r="AH68" s="41"/>
      <c r="AI68" s="19"/>
      <c r="AJ68" s="41"/>
      <c r="AK68" s="567"/>
      <c r="AL68" s="41"/>
      <c r="AM68" s="546">
        <f t="shared" si="37"/>
        <v>0</v>
      </c>
      <c r="AN68" s="546" t="str">
        <f t="shared" si="55"/>
        <v/>
      </c>
      <c r="AO68" s="546" t="str">
        <f t="shared" si="38"/>
        <v/>
      </c>
      <c r="AP68" s="546" t="str">
        <f t="shared" si="39"/>
        <v/>
      </c>
      <c r="AQ68" s="547" t="str">
        <f t="shared" si="40"/>
        <v/>
      </c>
      <c r="AR68" s="547" t="str">
        <f t="shared" si="56"/>
        <v/>
      </c>
      <c r="AS68" s="547" t="str">
        <f t="shared" si="57"/>
        <v/>
      </c>
      <c r="AT68" s="41">
        <f t="shared" si="58"/>
        <v>0</v>
      </c>
      <c r="AU68" s="94">
        <f t="shared" si="59"/>
        <v>0</v>
      </c>
      <c r="AV68" s="94">
        <f t="shared" si="41"/>
        <v>0</v>
      </c>
      <c r="AW68" s="94">
        <f t="shared" si="42"/>
        <v>0</v>
      </c>
      <c r="AX68" s="94">
        <f t="shared" si="43"/>
        <v>0</v>
      </c>
      <c r="AY68" s="546" t="str">
        <f t="shared" si="60"/>
        <v/>
      </c>
      <c r="AZ68" s="193" t="str">
        <f t="shared" si="61"/>
        <v/>
      </c>
      <c r="BA68" s="193" t="str">
        <f t="shared" si="62"/>
        <v/>
      </c>
      <c r="BB68" s="121" t="str">
        <f t="shared" si="63"/>
        <v/>
      </c>
      <c r="BC68" s="121" t="str">
        <f t="shared" si="44"/>
        <v/>
      </c>
      <c r="BD68" s="41"/>
      <c r="BE68" s="41"/>
      <c r="BF68" s="41"/>
      <c r="BG68" s="41"/>
      <c r="BH68" s="41"/>
      <c r="BI68" s="41"/>
      <c r="BJ68" s="41"/>
      <c r="BK68" s="41"/>
      <c r="BL68" s="41"/>
    </row>
    <row r="69" spans="3:64" s="76" customFormat="1" ht="13.5" customHeight="1">
      <c r="C69" s="811">
        <v>13</v>
      </c>
      <c r="D69" s="1803"/>
      <c r="E69" s="1804"/>
      <c r="F69" s="1066">
        <v>0</v>
      </c>
      <c r="G69" s="1067"/>
      <c r="H69" s="1067"/>
      <c r="I69" s="382"/>
      <c r="J69" s="382"/>
      <c r="K69" s="1069"/>
      <c r="L69" s="1070"/>
      <c r="M69" s="382"/>
      <c r="N69" s="382"/>
      <c r="O69" s="1103"/>
      <c r="P69" s="1106" t="str">
        <f t="shared" si="45"/>
        <v/>
      </c>
      <c r="Q69" s="1104"/>
      <c r="R69" s="45"/>
      <c r="S69" s="45">
        <f t="shared" si="46"/>
        <v>0</v>
      </c>
      <c r="T69" s="45">
        <f t="shared" si="47"/>
        <v>0</v>
      </c>
      <c r="U69" s="41">
        <f t="shared" si="48"/>
        <v>0</v>
      </c>
      <c r="V69" s="41">
        <f t="shared" si="34"/>
        <v>1</v>
      </c>
      <c r="W69" s="71">
        <f t="shared" si="49"/>
        <v>0</v>
      </c>
      <c r="X69" s="45"/>
      <c r="Y69" s="440">
        <f t="shared" ca="1" si="35"/>
        <v>43108</v>
      </c>
      <c r="Z69" s="41"/>
      <c r="AA69" s="88">
        <f t="shared" si="50"/>
        <v>0</v>
      </c>
      <c r="AB69" s="88">
        <f t="shared" si="51"/>
        <v>0</v>
      </c>
      <c r="AC69" s="88">
        <f t="shared" si="52"/>
        <v>0</v>
      </c>
      <c r="AD69" s="88">
        <f t="shared" si="53"/>
        <v>0</v>
      </c>
      <c r="AE69" s="88">
        <f t="shared" si="54"/>
        <v>0</v>
      </c>
      <c r="AF69" s="88">
        <f t="shared" si="36"/>
        <v>1</v>
      </c>
      <c r="AG69" s="41"/>
      <c r="AH69" s="41"/>
      <c r="AI69" s="19"/>
      <c r="AJ69" s="41"/>
      <c r="AK69" s="567"/>
      <c r="AL69" s="41"/>
      <c r="AM69" s="546">
        <f t="shared" si="37"/>
        <v>0</v>
      </c>
      <c r="AN69" s="546" t="str">
        <f t="shared" si="55"/>
        <v/>
      </c>
      <c r="AO69" s="546" t="str">
        <f t="shared" si="38"/>
        <v/>
      </c>
      <c r="AP69" s="546" t="str">
        <f t="shared" si="39"/>
        <v/>
      </c>
      <c r="AQ69" s="547" t="str">
        <f t="shared" si="40"/>
        <v/>
      </c>
      <c r="AR69" s="547" t="str">
        <f t="shared" si="56"/>
        <v/>
      </c>
      <c r="AS69" s="547" t="str">
        <f t="shared" si="57"/>
        <v/>
      </c>
      <c r="AT69" s="41">
        <f t="shared" si="58"/>
        <v>0</v>
      </c>
      <c r="AU69" s="94">
        <f t="shared" si="59"/>
        <v>0</v>
      </c>
      <c r="AV69" s="94">
        <f t="shared" si="41"/>
        <v>0</v>
      </c>
      <c r="AW69" s="94">
        <f t="shared" si="42"/>
        <v>0</v>
      </c>
      <c r="AX69" s="94">
        <f t="shared" si="43"/>
        <v>0</v>
      </c>
      <c r="AY69" s="546" t="str">
        <f t="shared" si="60"/>
        <v/>
      </c>
      <c r="AZ69" s="193" t="str">
        <f t="shared" si="61"/>
        <v/>
      </c>
      <c r="BA69" s="193" t="str">
        <f t="shared" si="62"/>
        <v/>
      </c>
      <c r="BB69" s="121" t="str">
        <f t="shared" si="63"/>
        <v/>
      </c>
      <c r="BC69" s="121" t="str">
        <f t="shared" si="44"/>
        <v/>
      </c>
      <c r="BD69" s="41"/>
      <c r="BE69" s="41"/>
      <c r="BF69" s="41"/>
      <c r="BG69" s="41"/>
      <c r="BH69" s="41"/>
      <c r="BI69" s="41"/>
      <c r="BJ69" s="41"/>
      <c r="BK69" s="41"/>
      <c r="BL69" s="41"/>
    </row>
    <row r="70" spans="3:64" s="76" customFormat="1" ht="13.5" customHeight="1">
      <c r="C70" s="811">
        <v>14</v>
      </c>
      <c r="D70" s="1803"/>
      <c r="E70" s="1804"/>
      <c r="F70" s="1066">
        <v>0</v>
      </c>
      <c r="G70" s="1067"/>
      <c r="H70" s="1067"/>
      <c r="I70" s="382"/>
      <c r="J70" s="382"/>
      <c r="K70" s="1069"/>
      <c r="L70" s="1070"/>
      <c r="M70" s="382"/>
      <c r="N70" s="382"/>
      <c r="O70" s="1103"/>
      <c r="P70" s="1106" t="str">
        <f t="shared" si="45"/>
        <v/>
      </c>
      <c r="Q70" s="1104"/>
      <c r="R70" s="45"/>
      <c r="S70" s="45">
        <f t="shared" si="46"/>
        <v>0</v>
      </c>
      <c r="T70" s="45">
        <f t="shared" si="47"/>
        <v>0</v>
      </c>
      <c r="U70" s="41">
        <f t="shared" si="48"/>
        <v>0</v>
      </c>
      <c r="V70" s="41">
        <f t="shared" si="34"/>
        <v>1</v>
      </c>
      <c r="W70" s="71">
        <f t="shared" si="49"/>
        <v>0</v>
      </c>
      <c r="X70" s="45"/>
      <c r="Y70" s="440">
        <f t="shared" ca="1" si="35"/>
        <v>43108</v>
      </c>
      <c r="Z70" s="41"/>
      <c r="AA70" s="88">
        <f t="shared" si="50"/>
        <v>0</v>
      </c>
      <c r="AB70" s="88">
        <f t="shared" si="51"/>
        <v>0</v>
      </c>
      <c r="AC70" s="88">
        <f t="shared" si="52"/>
        <v>0</v>
      </c>
      <c r="AD70" s="88">
        <f t="shared" si="53"/>
        <v>0</v>
      </c>
      <c r="AE70" s="88">
        <f t="shared" si="54"/>
        <v>0</v>
      </c>
      <c r="AF70" s="88">
        <f t="shared" si="36"/>
        <v>1</v>
      </c>
      <c r="AG70" s="41"/>
      <c r="AH70" s="41"/>
      <c r="AI70" s="19"/>
      <c r="AJ70" s="41"/>
      <c r="AK70" s="567"/>
      <c r="AL70" s="41"/>
      <c r="AM70" s="546">
        <f t="shared" si="37"/>
        <v>0</v>
      </c>
      <c r="AN70" s="546" t="str">
        <f t="shared" si="55"/>
        <v/>
      </c>
      <c r="AO70" s="546" t="str">
        <f t="shared" si="38"/>
        <v/>
      </c>
      <c r="AP70" s="546" t="str">
        <f t="shared" si="39"/>
        <v/>
      </c>
      <c r="AQ70" s="547" t="str">
        <f t="shared" si="40"/>
        <v/>
      </c>
      <c r="AR70" s="547" t="str">
        <f t="shared" si="56"/>
        <v/>
      </c>
      <c r="AS70" s="547" t="str">
        <f t="shared" si="57"/>
        <v/>
      </c>
      <c r="AT70" s="41">
        <f t="shared" si="58"/>
        <v>0</v>
      </c>
      <c r="AU70" s="94">
        <f t="shared" si="59"/>
        <v>0</v>
      </c>
      <c r="AV70" s="94">
        <f t="shared" si="41"/>
        <v>0</v>
      </c>
      <c r="AW70" s="94">
        <f t="shared" si="42"/>
        <v>0</v>
      </c>
      <c r="AX70" s="94">
        <f t="shared" si="43"/>
        <v>0</v>
      </c>
      <c r="AY70" s="546" t="str">
        <f t="shared" si="60"/>
        <v/>
      </c>
      <c r="AZ70" s="193" t="str">
        <f t="shared" si="61"/>
        <v/>
      </c>
      <c r="BA70" s="193" t="str">
        <f t="shared" si="62"/>
        <v/>
      </c>
      <c r="BB70" s="121" t="str">
        <f t="shared" si="63"/>
        <v/>
      </c>
      <c r="BC70" s="121" t="str">
        <f t="shared" si="44"/>
        <v/>
      </c>
      <c r="BD70" s="41"/>
      <c r="BE70" s="41"/>
      <c r="BF70" s="41"/>
      <c r="BG70" s="41"/>
      <c r="BH70" s="41"/>
      <c r="BI70" s="41"/>
      <c r="BJ70" s="41"/>
      <c r="BK70" s="41"/>
      <c r="BL70" s="41"/>
    </row>
    <row r="71" spans="3:64" s="76" customFormat="1" ht="13.5" customHeight="1">
      <c r="C71" s="811">
        <v>15</v>
      </c>
      <c r="D71" s="1803"/>
      <c r="E71" s="1804"/>
      <c r="F71" s="1066">
        <v>0</v>
      </c>
      <c r="G71" s="1067"/>
      <c r="H71" s="1067"/>
      <c r="I71" s="382"/>
      <c r="J71" s="382"/>
      <c r="K71" s="1069"/>
      <c r="L71" s="1070"/>
      <c r="M71" s="382"/>
      <c r="N71" s="382"/>
      <c r="O71" s="1103"/>
      <c r="P71" s="1106" t="str">
        <f t="shared" si="45"/>
        <v/>
      </c>
      <c r="Q71" s="1104"/>
      <c r="R71" s="45"/>
      <c r="S71" s="45">
        <f t="shared" si="46"/>
        <v>0</v>
      </c>
      <c r="T71" s="45">
        <f t="shared" si="47"/>
        <v>0</v>
      </c>
      <c r="U71" s="41">
        <f t="shared" si="48"/>
        <v>0</v>
      </c>
      <c r="V71" s="41">
        <f t="shared" si="34"/>
        <v>1</v>
      </c>
      <c r="W71" s="71">
        <f t="shared" si="49"/>
        <v>0</v>
      </c>
      <c r="X71" s="45"/>
      <c r="Y71" s="440">
        <f t="shared" ca="1" si="35"/>
        <v>43108</v>
      </c>
      <c r="Z71" s="41"/>
      <c r="AA71" s="88">
        <f t="shared" si="50"/>
        <v>0</v>
      </c>
      <c r="AB71" s="88">
        <f t="shared" si="51"/>
        <v>0</v>
      </c>
      <c r="AC71" s="88">
        <f t="shared" si="52"/>
        <v>0</v>
      </c>
      <c r="AD71" s="88">
        <f t="shared" si="53"/>
        <v>0</v>
      </c>
      <c r="AE71" s="88">
        <f t="shared" si="54"/>
        <v>0</v>
      </c>
      <c r="AF71" s="88">
        <f t="shared" si="36"/>
        <v>1</v>
      </c>
      <c r="AG71" s="41"/>
      <c r="AH71" s="41"/>
      <c r="AI71" s="41"/>
      <c r="AJ71" s="41"/>
      <c r="AK71" s="567"/>
      <c r="AL71" s="41"/>
      <c r="AM71" s="546">
        <f t="shared" si="37"/>
        <v>0</v>
      </c>
      <c r="AN71" s="546" t="str">
        <f t="shared" si="55"/>
        <v/>
      </c>
      <c r="AO71" s="546" t="str">
        <f t="shared" si="38"/>
        <v/>
      </c>
      <c r="AP71" s="546" t="str">
        <f t="shared" si="39"/>
        <v/>
      </c>
      <c r="AQ71" s="547" t="str">
        <f t="shared" si="40"/>
        <v/>
      </c>
      <c r="AR71" s="547" t="str">
        <f t="shared" si="56"/>
        <v/>
      </c>
      <c r="AS71" s="547" t="str">
        <f t="shared" si="57"/>
        <v/>
      </c>
      <c r="AT71" s="41">
        <f t="shared" si="58"/>
        <v>0</v>
      </c>
      <c r="AU71" s="94">
        <f t="shared" si="59"/>
        <v>0</v>
      </c>
      <c r="AV71" s="94">
        <f t="shared" si="41"/>
        <v>0</v>
      </c>
      <c r="AW71" s="94">
        <f t="shared" si="42"/>
        <v>0</v>
      </c>
      <c r="AX71" s="94">
        <f t="shared" si="43"/>
        <v>0</v>
      </c>
      <c r="AY71" s="546" t="str">
        <f t="shared" si="60"/>
        <v/>
      </c>
      <c r="AZ71" s="193" t="str">
        <f t="shared" si="61"/>
        <v/>
      </c>
      <c r="BA71" s="193" t="str">
        <f t="shared" si="62"/>
        <v/>
      </c>
      <c r="BB71" s="121" t="str">
        <f t="shared" si="63"/>
        <v/>
      </c>
      <c r="BC71" s="121" t="str">
        <f t="shared" si="44"/>
        <v/>
      </c>
      <c r="BD71" s="41"/>
      <c r="BE71" s="41"/>
      <c r="BF71" s="41"/>
      <c r="BG71" s="41"/>
      <c r="BH71" s="41"/>
      <c r="BI71" s="41"/>
      <c r="BJ71" s="41"/>
      <c r="BK71" s="41"/>
      <c r="BL71" s="41"/>
    </row>
    <row r="72" spans="3:64" s="76" customFormat="1" ht="13.5" customHeight="1" thickBot="1">
      <c r="C72" s="812">
        <v>16</v>
      </c>
      <c r="D72" s="1819"/>
      <c r="E72" s="1820"/>
      <c r="F72" s="719">
        <v>0</v>
      </c>
      <c r="G72" s="447"/>
      <c r="H72" s="447"/>
      <c r="I72" s="445"/>
      <c r="J72" s="445"/>
      <c r="K72" s="446"/>
      <c r="L72" s="532"/>
      <c r="M72" s="445"/>
      <c r="N72" s="445"/>
      <c r="O72" s="604"/>
      <c r="P72" s="1107" t="str">
        <f t="shared" si="45"/>
        <v/>
      </c>
      <c r="Q72" s="533"/>
      <c r="R72" s="45"/>
      <c r="S72" s="45">
        <f t="shared" si="46"/>
        <v>0</v>
      </c>
      <c r="T72" s="45">
        <f t="shared" si="47"/>
        <v>0</v>
      </c>
      <c r="U72" s="41">
        <f t="shared" si="48"/>
        <v>0</v>
      </c>
      <c r="V72" s="41">
        <f t="shared" si="34"/>
        <v>1</v>
      </c>
      <c r="W72" s="71">
        <f t="shared" si="49"/>
        <v>0</v>
      </c>
      <c r="X72" s="45"/>
      <c r="Y72" s="440">
        <f t="shared" ca="1" si="35"/>
        <v>43108</v>
      </c>
      <c r="Z72" s="41"/>
      <c r="AA72" s="88">
        <f t="shared" si="50"/>
        <v>0</v>
      </c>
      <c r="AB72" s="88">
        <f t="shared" si="51"/>
        <v>0</v>
      </c>
      <c r="AC72" s="88">
        <f t="shared" si="52"/>
        <v>0</v>
      </c>
      <c r="AD72" s="88">
        <f t="shared" si="53"/>
        <v>0</v>
      </c>
      <c r="AE72" s="88">
        <f t="shared" si="54"/>
        <v>0</v>
      </c>
      <c r="AF72" s="88">
        <f t="shared" si="36"/>
        <v>1</v>
      </c>
      <c r="AG72" s="41"/>
      <c r="AH72" s="41"/>
      <c r="AI72" s="41"/>
      <c r="AJ72" s="41"/>
      <c r="AK72" s="567"/>
      <c r="AL72" s="41"/>
      <c r="AM72" s="546">
        <f t="shared" si="37"/>
        <v>0</v>
      </c>
      <c r="AN72" s="546" t="str">
        <f t="shared" si="55"/>
        <v/>
      </c>
      <c r="AO72" s="546" t="str">
        <f t="shared" si="38"/>
        <v/>
      </c>
      <c r="AP72" s="546" t="str">
        <f t="shared" si="39"/>
        <v/>
      </c>
      <c r="AQ72" s="547" t="str">
        <f t="shared" si="40"/>
        <v/>
      </c>
      <c r="AR72" s="547" t="str">
        <f t="shared" si="56"/>
        <v/>
      </c>
      <c r="AS72" s="547" t="str">
        <f t="shared" si="57"/>
        <v/>
      </c>
      <c r="AT72" s="41">
        <f t="shared" si="58"/>
        <v>0</v>
      </c>
      <c r="AU72" s="94">
        <f t="shared" si="59"/>
        <v>0</v>
      </c>
      <c r="AV72" s="94">
        <f t="shared" si="41"/>
        <v>0</v>
      </c>
      <c r="AW72" s="94">
        <f t="shared" si="42"/>
        <v>0</v>
      </c>
      <c r="AX72" s="94">
        <f t="shared" si="43"/>
        <v>0</v>
      </c>
      <c r="AY72" s="546" t="str">
        <f t="shared" si="60"/>
        <v/>
      </c>
      <c r="AZ72" s="193" t="str">
        <f t="shared" si="61"/>
        <v/>
      </c>
      <c r="BA72" s="193" t="str">
        <f t="shared" si="62"/>
        <v/>
      </c>
      <c r="BB72" s="121" t="str">
        <f t="shared" si="63"/>
        <v/>
      </c>
      <c r="BC72" s="121" t="str">
        <f t="shared" si="44"/>
        <v/>
      </c>
      <c r="BD72" s="41"/>
      <c r="BE72" s="41"/>
      <c r="BF72" s="41"/>
      <c r="BG72" s="41"/>
      <c r="BH72" s="41"/>
      <c r="BI72" s="41"/>
      <c r="BJ72" s="41"/>
      <c r="BK72" s="41"/>
      <c r="BL72" s="41"/>
    </row>
    <row r="73" spans="3:64" s="76" customFormat="1" ht="13.5" customHeight="1" thickTop="1" thickBot="1">
      <c r="C73" s="19"/>
      <c r="D73" s="19"/>
      <c r="E73" s="1214" t="s">
        <v>32</v>
      </c>
      <c r="F73" s="1210">
        <f>ROUND(SUM(F57:F72),0)</f>
        <v>0</v>
      </c>
      <c r="G73" s="48" t="str">
        <f>IF(AK60=1,"","Must equal TDC without NPV from above Sources Statement")</f>
        <v>Must equal TDC without NPV from above Sources Statement</v>
      </c>
      <c r="H73" s="45"/>
      <c r="I73" s="45"/>
      <c r="J73" s="45"/>
      <c r="K73" s="45"/>
      <c r="L73" s="45"/>
      <c r="M73" s="45"/>
      <c r="Q73" s="45"/>
      <c r="R73" s="45"/>
      <c r="S73" s="45"/>
      <c r="T73" s="45"/>
      <c r="U73" s="45"/>
      <c r="V73" s="45"/>
      <c r="W73" s="45"/>
      <c r="X73" s="45"/>
      <c r="Y73" s="440"/>
      <c r="Z73" s="41"/>
      <c r="AA73" s="88"/>
      <c r="AB73" s="88"/>
      <c r="AC73" s="88"/>
      <c r="AD73" s="88"/>
      <c r="AE73" s="88"/>
      <c r="AF73" s="41"/>
      <c r="AG73" s="41"/>
      <c r="AH73" s="41"/>
      <c r="AI73" s="41"/>
      <c r="AJ73" s="41"/>
      <c r="AK73" s="567"/>
      <c r="AL73" s="41"/>
      <c r="AM73" s="546">
        <f t="shared" si="37"/>
        <v>0</v>
      </c>
      <c r="AN73" s="546" t="str">
        <f t="shared" si="55"/>
        <v/>
      </c>
      <c r="AO73" s="546" t="str">
        <f t="shared" si="38"/>
        <v/>
      </c>
      <c r="AP73" s="546" t="str">
        <f t="shared" si="39"/>
        <v/>
      </c>
      <c r="AQ73" s="547" t="str">
        <f t="shared" si="40"/>
        <v/>
      </c>
      <c r="AR73" s="547" t="str">
        <f t="shared" si="56"/>
        <v/>
      </c>
      <c r="AS73" s="547" t="str">
        <f t="shared" si="57"/>
        <v/>
      </c>
      <c r="AT73" s="41">
        <f t="shared" si="58"/>
        <v>0</v>
      </c>
      <c r="AU73" s="94">
        <f t="shared" si="59"/>
        <v>0</v>
      </c>
      <c r="AV73" s="94">
        <f t="shared" si="41"/>
        <v>0</v>
      </c>
      <c r="AW73" s="94">
        <f t="shared" si="42"/>
        <v>0</v>
      </c>
      <c r="AX73" s="94">
        <f t="shared" si="43"/>
        <v>0</v>
      </c>
      <c r="AY73" s="546" t="str">
        <f t="shared" si="60"/>
        <v/>
      </c>
      <c r="AZ73" s="193" t="str">
        <f t="shared" si="61"/>
        <v/>
      </c>
      <c r="BA73" s="193" t="str">
        <f t="shared" si="62"/>
        <v/>
      </c>
      <c r="BB73" s="121" t="str">
        <f t="shared" si="63"/>
        <v/>
      </c>
      <c r="BC73" s="121" t="str">
        <f t="shared" si="44"/>
        <v/>
      </c>
      <c r="BD73" s="41"/>
      <c r="BE73" s="41"/>
      <c r="BF73" s="41"/>
      <c r="BG73" s="41"/>
      <c r="BH73" s="41"/>
      <c r="BI73" s="41"/>
      <c r="BJ73" s="41"/>
      <c r="BK73" s="41"/>
      <c r="BL73" s="41"/>
    </row>
    <row r="74" spans="3:64" ht="14.25" thickTop="1">
      <c r="C74" s="90"/>
      <c r="AK74" s="567"/>
      <c r="AM74" s="568">
        <f>SUM(AM59:AM73)</f>
        <v>0</v>
      </c>
      <c r="AN74" s="552">
        <f>SUM(AN59:AN73)</f>
        <v>0</v>
      </c>
      <c r="AO74" s="552">
        <f>SUM(AO59:AO73)</f>
        <v>0</v>
      </c>
      <c r="AP74" s="552">
        <f>SUM(AP59:AP73)</f>
        <v>0</v>
      </c>
      <c r="AQ74" s="569">
        <f>COUNTIF(AQ59:AQ73,"An interest rate must be provided for all permanent loans.")</f>
        <v>0</v>
      </c>
      <c r="AR74" s="570">
        <f>COUNTIF(AR59:AR73,"A term (in months) must be provided for all permanent loans.")</f>
        <v>0</v>
      </c>
      <c r="AS74" s="570">
        <f>COUNTIF(AS59:AS73,"A loan amortization (in months) must be provided for all permanent loans.")</f>
        <v>0</v>
      </c>
      <c r="AT74" s="551"/>
      <c r="AU74" s="552">
        <f>SUM(AU59:AU73)</f>
        <v>0</v>
      </c>
      <c r="AV74" s="552">
        <f>SUM(AV59:AV73)</f>
        <v>0</v>
      </c>
      <c r="AW74" s="552">
        <f>SUM(AW59:AW73)</f>
        <v>0</v>
      </c>
      <c r="AX74" s="552">
        <f>SUM(AX59:AX73)</f>
        <v>0</v>
      </c>
      <c r="AY74" s="552">
        <f>COUNTIF(AY59:AY73,"A source type must be selected for all listed sources.")</f>
        <v>0</v>
      </c>
      <c r="AZ74" s="552">
        <f>COUNTIF(AZ59:AZ73,"A source description must be selected for all listed sources.")</f>
        <v>0</v>
      </c>
      <c r="BA74" s="552">
        <f>COUNTIF(BA59:BA73,"A source status must be selected for all listed sources.")</f>
        <v>0</v>
      </c>
      <c r="BB74" s="552">
        <f>COUNTIF(BB59:BB73,"A source name must be provided for all sources.")</f>
        <v>0</v>
      </c>
      <c r="BC74" s="552">
        <f>COUNTIF(BC58:BC73,"A source amount must be indicated for all listed sources.")</f>
        <v>0</v>
      </c>
    </row>
    <row r="75" spans="3:64" ht="13.5">
      <c r="AK75" s="567"/>
      <c r="AM75" s="551"/>
      <c r="AN75" s="571">
        <f>$AM$74-AN74</f>
        <v>0</v>
      </c>
      <c r="AO75" s="571">
        <f>$AM$74-AO74</f>
        <v>0</v>
      </c>
      <c r="AP75" s="571">
        <f>$AM$74-AP74</f>
        <v>0</v>
      </c>
      <c r="AQ75" s="551" t="str">
        <f>IF(AQ74&gt;0,"An interest rate was not indicated for one or permanent loans listed on the Sources Statement.","")</f>
        <v/>
      </c>
      <c r="AR75" s="551" t="str">
        <f>IF(AR74&gt;0,"A loan term (in months) was not indicated for one or permanent loans listed on the Sources Statement.","")</f>
        <v/>
      </c>
      <c r="AS75" s="551" t="str">
        <f>IF(AS74&gt;0,"A loan amortization (in months) was not indicated for one or permanent loans listed on the Sources Statement.","")</f>
        <v/>
      </c>
      <c r="AT75" s="551"/>
      <c r="AU75" s="551"/>
      <c r="AV75" s="551"/>
      <c r="AW75" s="551"/>
      <c r="AX75" s="551"/>
      <c r="AY75" s="551" t="str">
        <f>IF(AY74&gt;0,"A source type was not selected for all listed sources.","")</f>
        <v/>
      </c>
      <c r="AZ75" s="551" t="str">
        <f>IF(AZ74&gt;0,"A source description was not selected for all listed sources.","")</f>
        <v/>
      </c>
      <c r="BA75" s="551" t="str">
        <f>IF(BA74&gt;0,"A source status was not selected for all listed sources.","")</f>
        <v/>
      </c>
      <c r="BB75" s="551" t="str">
        <f>IF(BB74&gt;0,"A source name must be provided for all sources.","")</f>
        <v/>
      </c>
      <c r="BC75" s="551" t="str">
        <f>IF(BC74&gt;0,"A source amount must be indicated for all listed sources.","")</f>
        <v/>
      </c>
    </row>
    <row r="76" spans="3:64" ht="13.5">
      <c r="AK76" s="567"/>
      <c r="AM76" s="551"/>
      <c r="AN76" s="551"/>
      <c r="AO76" s="551"/>
      <c r="AP76" s="551"/>
      <c r="AQ76" s="551"/>
      <c r="AR76" s="551"/>
      <c r="AS76" s="551"/>
      <c r="AT76" s="551"/>
      <c r="AU76" s="551"/>
      <c r="AV76" s="551"/>
      <c r="AW76" s="551"/>
      <c r="AX76" s="551"/>
      <c r="AY76" s="551"/>
      <c r="AZ76" s="551"/>
      <c r="BA76" s="551"/>
      <c r="BB76" s="551"/>
    </row>
    <row r="77" spans="3:64" ht="13.5">
      <c r="AK77" s="567"/>
      <c r="AM77" s="1810" t="s">
        <v>797</v>
      </c>
      <c r="AN77" s="1810"/>
      <c r="AO77" s="560"/>
      <c r="AP77" s="560"/>
      <c r="AQ77" s="560"/>
      <c r="AR77" s="560"/>
      <c r="AS77" s="560"/>
      <c r="AT77" s="551"/>
      <c r="AU77" s="571"/>
      <c r="AV77" s="551"/>
      <c r="AW77" s="551"/>
      <c r="AX77" s="551"/>
      <c r="AY77" s="551"/>
      <c r="AZ77" s="551"/>
      <c r="BA77" s="551"/>
      <c r="BB77" s="551"/>
      <c r="BC77" s="121"/>
    </row>
    <row r="78" spans="3:64" ht="13.5">
      <c r="AK78" s="567"/>
      <c r="AM78" s="572" t="s">
        <v>817</v>
      </c>
      <c r="AN78" s="573" t="s">
        <v>818</v>
      </c>
      <c r="AO78" s="573" t="s">
        <v>819</v>
      </c>
      <c r="AP78" s="573" t="s">
        <v>820</v>
      </c>
      <c r="AQ78" s="560"/>
      <c r="AR78" s="560"/>
      <c r="AS78" s="560"/>
      <c r="AT78" s="551"/>
      <c r="AU78" s="571"/>
      <c r="AV78" s="551"/>
      <c r="AW78" s="551"/>
      <c r="AX78" s="551"/>
      <c r="AY78" s="551"/>
      <c r="AZ78" s="551"/>
      <c r="BA78" s="551"/>
      <c r="BB78" s="551"/>
      <c r="BC78" s="121"/>
    </row>
    <row r="79" spans="3:64" ht="13.5">
      <c r="AK79" s="567"/>
      <c r="AM79" s="546">
        <f>IF(AND(G59="Permanent Loan",J59&lt;&gt;"Deferred"),1,0)</f>
        <v>0</v>
      </c>
      <c r="AN79" s="546" t="str">
        <f t="shared" ref="AN79:AN92" si="64">IF(AND(AM79=1,L59=""),1,"")</f>
        <v/>
      </c>
      <c r="AO79" s="546" t="str">
        <f t="shared" ref="AO79:AO92" si="65">IF(AND(AM79=1,M59=""),1,"")</f>
        <v/>
      </c>
      <c r="AP79" s="546" t="str">
        <f>IF(AND(AM79=1,N59=""),1,"")</f>
        <v/>
      </c>
      <c r="AQ79" s="547" t="str">
        <f>IF(AND(AM79=1,AN79=1),"An interest rate must be provided for all permanent loans.","")</f>
        <v/>
      </c>
      <c r="AR79" s="547" t="str">
        <f>IF(AND(AM79=1,AO79=1),"A term (in months) must be provided for all permanent loans.","")</f>
        <v/>
      </c>
      <c r="AS79" s="547" t="str">
        <f>IF(AND(AM79=1,AP79=1),"A loan amortization (in months) must be provided for all permanent loans.","")</f>
        <v/>
      </c>
      <c r="AT79" s="41">
        <f>MAX(AU79:AX79)</f>
        <v>0</v>
      </c>
      <c r="AU79" s="94">
        <f>IF(D59&lt;&gt;"",1,0)</f>
        <v>0</v>
      </c>
      <c r="AV79" s="94">
        <f t="shared" ref="AV79:AV92" si="66">IF(G59&lt;&gt;"",1,0)</f>
        <v>0</v>
      </c>
      <c r="AW79" s="94">
        <f t="shared" ref="AW79:AW92" si="67">IF(H59&lt;&gt;"",1,0)</f>
        <v>0</v>
      </c>
      <c r="AX79" s="94">
        <f t="shared" ref="AX79:AX92" si="68">IF(I59&lt;&gt;"",1,0)</f>
        <v>0</v>
      </c>
      <c r="AY79" s="94" t="str">
        <f>IF(AND(AT79&gt;0,AV79=0),"A source type must be selected for all listed sources.","")</f>
        <v/>
      </c>
      <c r="AZ79" s="193" t="str">
        <f>IF(AND(AT79&gt;0,AW79=0),"A source description must be selected for all listed sources.","")</f>
        <v/>
      </c>
      <c r="BA79" s="193" t="str">
        <f>IF(AND(AT79&gt;0,AX79=0),"A source status must be selected for all listed sources.","")</f>
        <v/>
      </c>
      <c r="BB79" s="121" t="str">
        <f>IF(AND(AT79&gt;0,AU79=0),"A source name must be provided for all sources.","")</f>
        <v/>
      </c>
      <c r="BC79" s="121" t="str">
        <f t="shared" ref="BC79:BC92" si="69">IF(AND(AU79=1,F59&lt;1),"A source amount must be indicated for all listed sources.","")</f>
        <v/>
      </c>
    </row>
    <row r="80" spans="3:64" ht="13.5">
      <c r="AK80" s="567"/>
      <c r="AM80" s="546">
        <f t="shared" ref="AM80:AM92" si="70">IF(AND(G60="Permanent Loan",J60&lt;&gt;"Deferred"),1,0)</f>
        <v>0</v>
      </c>
      <c r="AN80" s="546" t="str">
        <f t="shared" si="64"/>
        <v/>
      </c>
      <c r="AO80" s="546" t="str">
        <f t="shared" si="65"/>
        <v/>
      </c>
      <c r="AP80" s="546" t="str">
        <f t="shared" ref="AP80:AP92" si="71">IF(AND(AM80=1,N60=""),1,"")</f>
        <v/>
      </c>
      <c r="AQ80" s="547" t="str">
        <f>IF(AND(AM80=1,AN80=1),"An interest rate must be provided for all permanent loans.","")</f>
        <v/>
      </c>
      <c r="AR80" s="547" t="str">
        <f>IF(AND(AM80=1,AO80=1),"A term (in months) must be provided for all permanent loans.","")</f>
        <v/>
      </c>
      <c r="AS80" s="547" t="str">
        <f>IF(AND(AM80=1,AP80=1),"A loan amortization (in months) must be provided for all permanent loans.","")</f>
        <v/>
      </c>
      <c r="AT80" s="41">
        <f t="shared" ref="AT80:AT93" si="72">MAX(AU80:AX80)</f>
        <v>0</v>
      </c>
      <c r="AU80" s="94">
        <f t="shared" ref="AU80:AU92" si="73">IF(D60&lt;&gt;"",1,0)</f>
        <v>0</v>
      </c>
      <c r="AV80" s="94">
        <f t="shared" si="66"/>
        <v>0</v>
      </c>
      <c r="AW80" s="94">
        <f t="shared" si="67"/>
        <v>0</v>
      </c>
      <c r="AX80" s="94">
        <f t="shared" si="68"/>
        <v>0</v>
      </c>
      <c r="AY80" s="94" t="str">
        <f t="shared" ref="AY80:AY92" si="74">IF(AND(AT80&gt;0,AV80=0),"A source type must be selected for all listed sources.","")</f>
        <v/>
      </c>
      <c r="AZ80" s="193" t="str">
        <f t="shared" ref="AZ80:AZ92" si="75">IF(AND(AT80&gt;0,AW80=0),"A source description must be selected for all listed sources.","")</f>
        <v/>
      </c>
      <c r="BA80" s="193" t="str">
        <f t="shared" ref="BA80:BA92" si="76">IF(AND(AT80&gt;0,AX80=0),"A source status must be selected for all listed sources.","")</f>
        <v/>
      </c>
      <c r="BB80" s="121" t="str">
        <f t="shared" ref="BB80:BB92" si="77">IF(AND(AT80&gt;0,AU80=0),"A source name must be provided for all sources.","")</f>
        <v/>
      </c>
      <c r="BC80" s="121" t="str">
        <f t="shared" si="69"/>
        <v/>
      </c>
    </row>
    <row r="81" spans="39:55" ht="13.5">
      <c r="AM81" s="546">
        <f t="shared" si="70"/>
        <v>0</v>
      </c>
      <c r="AN81" s="546" t="str">
        <f t="shared" si="64"/>
        <v/>
      </c>
      <c r="AO81" s="546" t="str">
        <f t="shared" si="65"/>
        <v/>
      </c>
      <c r="AP81" s="546" t="str">
        <f t="shared" si="71"/>
        <v/>
      </c>
      <c r="AQ81" s="547" t="str">
        <f>IF(AND(AM81=1,AN81=1),"An interest rate must be provided for all permanent loans.","")</f>
        <v/>
      </c>
      <c r="AR81" s="547" t="str">
        <f>IF(AND(AM81=1,AO81=1),"A term (in months) must be provided for all permanent loans.","")</f>
        <v/>
      </c>
      <c r="AS81" s="547" t="str">
        <f>IF(AND(AM81=1,AP81=1),"A loan amortization (in months) must be provided for all permanent loans.","")</f>
        <v/>
      </c>
      <c r="AT81" s="41">
        <f t="shared" si="72"/>
        <v>0</v>
      </c>
      <c r="AU81" s="94">
        <f t="shared" si="73"/>
        <v>0</v>
      </c>
      <c r="AV81" s="94">
        <f t="shared" si="66"/>
        <v>0</v>
      </c>
      <c r="AW81" s="94">
        <f t="shared" si="67"/>
        <v>0</v>
      </c>
      <c r="AX81" s="94">
        <f t="shared" si="68"/>
        <v>0</v>
      </c>
      <c r="AY81" s="94" t="str">
        <f t="shared" si="74"/>
        <v/>
      </c>
      <c r="AZ81" s="193" t="str">
        <f t="shared" si="75"/>
        <v/>
      </c>
      <c r="BA81" s="193" t="str">
        <f t="shared" si="76"/>
        <v/>
      </c>
      <c r="BB81" s="121" t="str">
        <f t="shared" si="77"/>
        <v/>
      </c>
      <c r="BC81" s="121" t="str">
        <f t="shared" si="69"/>
        <v/>
      </c>
    </row>
    <row r="82" spans="39:55" ht="13.5">
      <c r="AM82" s="546">
        <f t="shared" si="70"/>
        <v>0</v>
      </c>
      <c r="AN82" s="546" t="str">
        <f t="shared" si="64"/>
        <v/>
      </c>
      <c r="AO82" s="546" t="str">
        <f t="shared" si="65"/>
        <v/>
      </c>
      <c r="AP82" s="546" t="str">
        <f t="shared" si="71"/>
        <v/>
      </c>
      <c r="AQ82" s="547" t="str">
        <f>IF(AND(AM82=1,AN82=1),"An interest rate must be provided for all permanent loans.","")</f>
        <v/>
      </c>
      <c r="AR82" s="547" t="str">
        <f>IF(AND(AM82=1,AO82=1),"A term (in months) must be provided for all permanent loans.","")</f>
        <v/>
      </c>
      <c r="AS82" s="547" t="str">
        <f>IF(AND(AM82=1,AP82=1),"A loan amortization (in months) must be provided for all permanent loans.","")</f>
        <v/>
      </c>
      <c r="AT82" s="41">
        <f t="shared" si="72"/>
        <v>0</v>
      </c>
      <c r="AU82" s="94">
        <f t="shared" si="73"/>
        <v>0</v>
      </c>
      <c r="AV82" s="94">
        <f t="shared" si="66"/>
        <v>0</v>
      </c>
      <c r="AW82" s="94">
        <f t="shared" si="67"/>
        <v>0</v>
      </c>
      <c r="AX82" s="94">
        <f t="shared" si="68"/>
        <v>0</v>
      </c>
      <c r="AY82" s="94" t="str">
        <f t="shared" si="74"/>
        <v/>
      </c>
      <c r="AZ82" s="193" t="str">
        <f t="shared" si="75"/>
        <v/>
      </c>
      <c r="BA82" s="193" t="str">
        <f t="shared" si="76"/>
        <v/>
      </c>
      <c r="BB82" s="121" t="str">
        <f t="shared" si="77"/>
        <v/>
      </c>
      <c r="BC82" s="121" t="str">
        <f t="shared" si="69"/>
        <v/>
      </c>
    </row>
    <row r="83" spans="39:55" ht="13.5">
      <c r="AM83" s="546">
        <f t="shared" si="70"/>
        <v>0</v>
      </c>
      <c r="AN83" s="546" t="str">
        <f t="shared" si="64"/>
        <v/>
      </c>
      <c r="AO83" s="546" t="str">
        <f t="shared" si="65"/>
        <v/>
      </c>
      <c r="AP83" s="546" t="str">
        <f t="shared" si="71"/>
        <v/>
      </c>
      <c r="AQ83" s="547" t="str">
        <f t="shared" ref="AQ83:AQ92" si="78">IF(AND(AM83=1,AN83=1),"An interest rate must be provided for all permanent loans.","")</f>
        <v/>
      </c>
      <c r="AR83" s="547" t="str">
        <f t="shared" ref="AR83:AR92" si="79">IF(AND(AM83=1,AO83=1),"A term (in months) must be provided for all permanent loans.","")</f>
        <v/>
      </c>
      <c r="AS83" s="547" t="str">
        <f t="shared" ref="AS83:AS92" si="80">IF(AND(AM83=1,AP83=1),"A loan amortization (in months) must be provided for all permanent loans.","")</f>
        <v/>
      </c>
      <c r="AT83" s="41">
        <f t="shared" si="72"/>
        <v>0</v>
      </c>
      <c r="AU83" s="94">
        <f t="shared" si="73"/>
        <v>0</v>
      </c>
      <c r="AV83" s="94">
        <f t="shared" si="66"/>
        <v>0</v>
      </c>
      <c r="AW83" s="94">
        <f t="shared" si="67"/>
        <v>0</v>
      </c>
      <c r="AX83" s="94">
        <f t="shared" si="68"/>
        <v>0</v>
      </c>
      <c r="AY83" s="94" t="str">
        <f t="shared" si="74"/>
        <v/>
      </c>
      <c r="AZ83" s="193" t="str">
        <f t="shared" si="75"/>
        <v/>
      </c>
      <c r="BA83" s="193" t="str">
        <f t="shared" si="76"/>
        <v/>
      </c>
      <c r="BB83" s="121" t="str">
        <f t="shared" si="77"/>
        <v/>
      </c>
      <c r="BC83" s="121" t="str">
        <f t="shared" si="69"/>
        <v/>
      </c>
    </row>
    <row r="84" spans="39:55" ht="13.5">
      <c r="AM84" s="546">
        <f t="shared" si="70"/>
        <v>0</v>
      </c>
      <c r="AN84" s="546" t="str">
        <f t="shared" si="64"/>
        <v/>
      </c>
      <c r="AO84" s="546" t="str">
        <f t="shared" si="65"/>
        <v/>
      </c>
      <c r="AP84" s="546" t="str">
        <f t="shared" si="71"/>
        <v/>
      </c>
      <c r="AQ84" s="547" t="str">
        <f t="shared" si="78"/>
        <v/>
      </c>
      <c r="AR84" s="547" t="str">
        <f t="shared" si="79"/>
        <v/>
      </c>
      <c r="AS84" s="547" t="str">
        <f t="shared" si="80"/>
        <v/>
      </c>
      <c r="AT84" s="41">
        <f t="shared" si="72"/>
        <v>0</v>
      </c>
      <c r="AU84" s="94">
        <f t="shared" si="73"/>
        <v>0</v>
      </c>
      <c r="AV84" s="94">
        <f t="shared" si="66"/>
        <v>0</v>
      </c>
      <c r="AW84" s="94">
        <f t="shared" si="67"/>
        <v>0</v>
      </c>
      <c r="AX84" s="94">
        <f t="shared" si="68"/>
        <v>0</v>
      </c>
      <c r="AY84" s="94" t="str">
        <f t="shared" si="74"/>
        <v/>
      </c>
      <c r="AZ84" s="193" t="str">
        <f t="shared" si="75"/>
        <v/>
      </c>
      <c r="BA84" s="193" t="str">
        <f t="shared" si="76"/>
        <v/>
      </c>
      <c r="BB84" s="121" t="str">
        <f t="shared" si="77"/>
        <v/>
      </c>
      <c r="BC84" s="121" t="str">
        <f t="shared" si="69"/>
        <v/>
      </c>
    </row>
    <row r="85" spans="39:55" ht="13.5">
      <c r="AM85" s="546">
        <f t="shared" si="70"/>
        <v>0</v>
      </c>
      <c r="AN85" s="546" t="str">
        <f t="shared" si="64"/>
        <v/>
      </c>
      <c r="AO85" s="546" t="str">
        <f t="shared" si="65"/>
        <v/>
      </c>
      <c r="AP85" s="546" t="str">
        <f t="shared" si="71"/>
        <v/>
      </c>
      <c r="AQ85" s="547" t="str">
        <f t="shared" si="78"/>
        <v/>
      </c>
      <c r="AR85" s="547" t="str">
        <f t="shared" si="79"/>
        <v/>
      </c>
      <c r="AS85" s="547" t="str">
        <f t="shared" si="80"/>
        <v/>
      </c>
      <c r="AT85" s="41">
        <f t="shared" si="72"/>
        <v>0</v>
      </c>
      <c r="AU85" s="94">
        <f t="shared" si="73"/>
        <v>0</v>
      </c>
      <c r="AV85" s="94">
        <f t="shared" si="66"/>
        <v>0</v>
      </c>
      <c r="AW85" s="94">
        <f t="shared" si="67"/>
        <v>0</v>
      </c>
      <c r="AX85" s="94">
        <f t="shared" si="68"/>
        <v>0</v>
      </c>
      <c r="AY85" s="94" t="str">
        <f t="shared" si="74"/>
        <v/>
      </c>
      <c r="AZ85" s="193" t="str">
        <f t="shared" si="75"/>
        <v/>
      </c>
      <c r="BA85" s="193" t="str">
        <f t="shared" si="76"/>
        <v/>
      </c>
      <c r="BB85" s="121" t="str">
        <f t="shared" si="77"/>
        <v/>
      </c>
      <c r="BC85" s="121" t="str">
        <f t="shared" si="69"/>
        <v/>
      </c>
    </row>
    <row r="86" spans="39:55" ht="13.5">
      <c r="AM86" s="546">
        <f t="shared" si="70"/>
        <v>0</v>
      </c>
      <c r="AN86" s="546" t="str">
        <f t="shared" si="64"/>
        <v/>
      </c>
      <c r="AO86" s="546" t="str">
        <f t="shared" si="65"/>
        <v/>
      </c>
      <c r="AP86" s="546" t="str">
        <f t="shared" si="71"/>
        <v/>
      </c>
      <c r="AQ86" s="547" t="str">
        <f t="shared" si="78"/>
        <v/>
      </c>
      <c r="AR86" s="547" t="str">
        <f t="shared" si="79"/>
        <v/>
      </c>
      <c r="AS86" s="547" t="str">
        <f t="shared" si="80"/>
        <v/>
      </c>
      <c r="AT86" s="41">
        <f t="shared" si="72"/>
        <v>0</v>
      </c>
      <c r="AU86" s="94">
        <f t="shared" si="73"/>
        <v>0</v>
      </c>
      <c r="AV86" s="94">
        <f t="shared" si="66"/>
        <v>0</v>
      </c>
      <c r="AW86" s="94">
        <f t="shared" si="67"/>
        <v>0</v>
      </c>
      <c r="AX86" s="94">
        <f t="shared" si="68"/>
        <v>0</v>
      </c>
      <c r="AY86" s="94" t="str">
        <f t="shared" si="74"/>
        <v/>
      </c>
      <c r="AZ86" s="193" t="str">
        <f t="shared" si="75"/>
        <v/>
      </c>
      <c r="BA86" s="193" t="str">
        <f t="shared" si="76"/>
        <v/>
      </c>
      <c r="BB86" s="121" t="str">
        <f t="shared" si="77"/>
        <v/>
      </c>
      <c r="BC86" s="121" t="str">
        <f t="shared" si="69"/>
        <v/>
      </c>
    </row>
    <row r="87" spans="39:55" ht="13.5">
      <c r="AM87" s="546">
        <f t="shared" si="70"/>
        <v>0</v>
      </c>
      <c r="AN87" s="546" t="str">
        <f t="shared" si="64"/>
        <v/>
      </c>
      <c r="AO87" s="546" t="str">
        <f t="shared" si="65"/>
        <v/>
      </c>
      <c r="AP87" s="546" t="str">
        <f t="shared" si="71"/>
        <v/>
      </c>
      <c r="AQ87" s="547" t="str">
        <f t="shared" si="78"/>
        <v/>
      </c>
      <c r="AR87" s="547" t="str">
        <f t="shared" si="79"/>
        <v/>
      </c>
      <c r="AS87" s="547" t="str">
        <f t="shared" si="80"/>
        <v/>
      </c>
      <c r="AT87" s="41">
        <f t="shared" si="72"/>
        <v>0</v>
      </c>
      <c r="AU87" s="94">
        <f t="shared" si="73"/>
        <v>0</v>
      </c>
      <c r="AV87" s="94">
        <f t="shared" si="66"/>
        <v>0</v>
      </c>
      <c r="AW87" s="94">
        <f t="shared" si="67"/>
        <v>0</v>
      </c>
      <c r="AX87" s="94">
        <f t="shared" si="68"/>
        <v>0</v>
      </c>
      <c r="AY87" s="94" t="str">
        <f t="shared" si="74"/>
        <v/>
      </c>
      <c r="AZ87" s="193" t="str">
        <f t="shared" si="75"/>
        <v/>
      </c>
      <c r="BA87" s="193" t="str">
        <f t="shared" si="76"/>
        <v/>
      </c>
      <c r="BB87" s="121" t="str">
        <f t="shared" si="77"/>
        <v/>
      </c>
      <c r="BC87" s="121" t="str">
        <f t="shared" si="69"/>
        <v/>
      </c>
    </row>
    <row r="88" spans="39:55" ht="13.5">
      <c r="AM88" s="546">
        <f t="shared" si="70"/>
        <v>0</v>
      </c>
      <c r="AN88" s="546" t="str">
        <f t="shared" si="64"/>
        <v/>
      </c>
      <c r="AO88" s="546" t="str">
        <f t="shared" si="65"/>
        <v/>
      </c>
      <c r="AP88" s="546" t="str">
        <f t="shared" si="71"/>
        <v/>
      </c>
      <c r="AQ88" s="547" t="str">
        <f t="shared" si="78"/>
        <v/>
      </c>
      <c r="AR88" s="547" t="str">
        <f t="shared" si="79"/>
        <v/>
      </c>
      <c r="AS88" s="547" t="str">
        <f t="shared" si="80"/>
        <v/>
      </c>
      <c r="AT88" s="41">
        <f t="shared" si="72"/>
        <v>0</v>
      </c>
      <c r="AU88" s="94">
        <f t="shared" si="73"/>
        <v>0</v>
      </c>
      <c r="AV88" s="94">
        <f t="shared" si="66"/>
        <v>0</v>
      </c>
      <c r="AW88" s="94">
        <f t="shared" si="67"/>
        <v>0</v>
      </c>
      <c r="AX88" s="94">
        <f t="shared" si="68"/>
        <v>0</v>
      </c>
      <c r="AY88" s="94" t="str">
        <f t="shared" si="74"/>
        <v/>
      </c>
      <c r="AZ88" s="193" t="str">
        <f t="shared" si="75"/>
        <v/>
      </c>
      <c r="BA88" s="193" t="str">
        <f t="shared" si="76"/>
        <v/>
      </c>
      <c r="BB88" s="121" t="str">
        <f t="shared" si="77"/>
        <v/>
      </c>
      <c r="BC88" s="121" t="str">
        <f t="shared" si="69"/>
        <v/>
      </c>
    </row>
    <row r="89" spans="39:55" ht="13.5">
      <c r="AM89" s="546">
        <f t="shared" si="70"/>
        <v>0</v>
      </c>
      <c r="AN89" s="546" t="str">
        <f t="shared" si="64"/>
        <v/>
      </c>
      <c r="AO89" s="546" t="str">
        <f t="shared" si="65"/>
        <v/>
      </c>
      <c r="AP89" s="546" t="str">
        <f t="shared" si="71"/>
        <v/>
      </c>
      <c r="AQ89" s="547" t="str">
        <f t="shared" si="78"/>
        <v/>
      </c>
      <c r="AR89" s="547" t="str">
        <f t="shared" si="79"/>
        <v/>
      </c>
      <c r="AS89" s="547" t="str">
        <f t="shared" si="80"/>
        <v/>
      </c>
      <c r="AT89" s="41">
        <f t="shared" si="72"/>
        <v>0</v>
      </c>
      <c r="AU89" s="94">
        <f t="shared" si="73"/>
        <v>0</v>
      </c>
      <c r="AV89" s="94">
        <f t="shared" si="66"/>
        <v>0</v>
      </c>
      <c r="AW89" s="94">
        <f t="shared" si="67"/>
        <v>0</v>
      </c>
      <c r="AX89" s="94">
        <f t="shared" si="68"/>
        <v>0</v>
      </c>
      <c r="AY89" s="94" t="str">
        <f t="shared" si="74"/>
        <v/>
      </c>
      <c r="AZ89" s="193" t="str">
        <f t="shared" si="75"/>
        <v/>
      </c>
      <c r="BA89" s="193" t="str">
        <f t="shared" si="76"/>
        <v/>
      </c>
      <c r="BB89" s="121" t="str">
        <f t="shared" si="77"/>
        <v/>
      </c>
      <c r="BC89" s="121" t="str">
        <f t="shared" si="69"/>
        <v/>
      </c>
    </row>
    <row r="90" spans="39:55" ht="13.5">
      <c r="AM90" s="546">
        <f t="shared" si="70"/>
        <v>0</v>
      </c>
      <c r="AN90" s="546" t="str">
        <f t="shared" si="64"/>
        <v/>
      </c>
      <c r="AO90" s="546" t="str">
        <f t="shared" si="65"/>
        <v/>
      </c>
      <c r="AP90" s="546" t="str">
        <f t="shared" si="71"/>
        <v/>
      </c>
      <c r="AQ90" s="547" t="str">
        <f t="shared" si="78"/>
        <v/>
      </c>
      <c r="AR90" s="547" t="str">
        <f t="shared" si="79"/>
        <v/>
      </c>
      <c r="AS90" s="547" t="str">
        <f t="shared" si="80"/>
        <v/>
      </c>
      <c r="AT90" s="41">
        <f t="shared" si="72"/>
        <v>0</v>
      </c>
      <c r="AU90" s="94">
        <f t="shared" si="73"/>
        <v>0</v>
      </c>
      <c r="AV90" s="94">
        <f t="shared" si="66"/>
        <v>0</v>
      </c>
      <c r="AW90" s="94">
        <f t="shared" si="67"/>
        <v>0</v>
      </c>
      <c r="AX90" s="94">
        <f t="shared" si="68"/>
        <v>0</v>
      </c>
      <c r="AY90" s="94" t="str">
        <f t="shared" si="74"/>
        <v/>
      </c>
      <c r="AZ90" s="193" t="str">
        <f t="shared" si="75"/>
        <v/>
      </c>
      <c r="BA90" s="193" t="str">
        <f t="shared" si="76"/>
        <v/>
      </c>
      <c r="BB90" s="121" t="str">
        <f t="shared" si="77"/>
        <v/>
      </c>
      <c r="BC90" s="121" t="str">
        <f t="shared" si="69"/>
        <v/>
      </c>
    </row>
    <row r="91" spans="39:55" ht="13.5">
      <c r="AM91" s="546">
        <f t="shared" si="70"/>
        <v>0</v>
      </c>
      <c r="AN91" s="546" t="str">
        <f t="shared" si="64"/>
        <v/>
      </c>
      <c r="AO91" s="546" t="str">
        <f t="shared" si="65"/>
        <v/>
      </c>
      <c r="AP91" s="546" t="str">
        <f t="shared" si="71"/>
        <v/>
      </c>
      <c r="AQ91" s="547" t="str">
        <f t="shared" si="78"/>
        <v/>
      </c>
      <c r="AR91" s="547" t="str">
        <f t="shared" si="79"/>
        <v/>
      </c>
      <c r="AS91" s="547" t="str">
        <f t="shared" si="80"/>
        <v/>
      </c>
      <c r="AT91" s="41">
        <f t="shared" si="72"/>
        <v>0</v>
      </c>
      <c r="AU91" s="94">
        <f t="shared" si="73"/>
        <v>0</v>
      </c>
      <c r="AV91" s="94">
        <f t="shared" si="66"/>
        <v>0</v>
      </c>
      <c r="AW91" s="94">
        <f t="shared" si="67"/>
        <v>0</v>
      </c>
      <c r="AX91" s="94">
        <f t="shared" si="68"/>
        <v>0</v>
      </c>
      <c r="AY91" s="94" t="str">
        <f t="shared" si="74"/>
        <v/>
      </c>
      <c r="AZ91" s="193" t="str">
        <f t="shared" si="75"/>
        <v/>
      </c>
      <c r="BA91" s="193" t="str">
        <f t="shared" si="76"/>
        <v/>
      </c>
      <c r="BB91" s="121" t="str">
        <f t="shared" si="77"/>
        <v/>
      </c>
      <c r="BC91" s="121" t="str">
        <f t="shared" si="69"/>
        <v/>
      </c>
    </row>
    <row r="92" spans="39:55" ht="13.5">
      <c r="AM92" s="546">
        <f t="shared" si="70"/>
        <v>0</v>
      </c>
      <c r="AN92" s="546" t="str">
        <f t="shared" si="64"/>
        <v/>
      </c>
      <c r="AO92" s="546" t="str">
        <f t="shared" si="65"/>
        <v/>
      </c>
      <c r="AP92" s="546" t="str">
        <f t="shared" si="71"/>
        <v/>
      </c>
      <c r="AQ92" s="547" t="str">
        <f t="shared" si="78"/>
        <v/>
      </c>
      <c r="AR92" s="547" t="str">
        <f t="shared" si="79"/>
        <v/>
      </c>
      <c r="AS92" s="547" t="str">
        <f t="shared" si="80"/>
        <v/>
      </c>
      <c r="AT92" s="41">
        <f t="shared" si="72"/>
        <v>0</v>
      </c>
      <c r="AU92" s="94">
        <f t="shared" si="73"/>
        <v>0</v>
      </c>
      <c r="AV92" s="94">
        <f t="shared" si="66"/>
        <v>0</v>
      </c>
      <c r="AW92" s="94">
        <f t="shared" si="67"/>
        <v>0</v>
      </c>
      <c r="AX92" s="94">
        <f t="shared" si="68"/>
        <v>0</v>
      </c>
      <c r="AY92" s="94" t="str">
        <f t="shared" si="74"/>
        <v/>
      </c>
      <c r="AZ92" s="193" t="str">
        <f t="shared" si="75"/>
        <v/>
      </c>
      <c r="BA92" s="193" t="str">
        <f t="shared" si="76"/>
        <v/>
      </c>
      <c r="BB92" s="121" t="str">
        <f t="shared" si="77"/>
        <v/>
      </c>
      <c r="BC92" s="121" t="str">
        <f t="shared" si="69"/>
        <v/>
      </c>
    </row>
    <row r="93" spans="39:55" ht="13.5">
      <c r="AM93" s="568">
        <f>SUM(AM79:AM92)</f>
        <v>0</v>
      </c>
      <c r="AN93" s="552">
        <f>SUM(AN79:AN92)</f>
        <v>0</v>
      </c>
      <c r="AO93" s="552">
        <f>SUM(AO79:AO92)</f>
        <v>0</v>
      </c>
      <c r="AP93" s="552">
        <f>SUM(AP79:AP92)</f>
        <v>0</v>
      </c>
      <c r="AQ93" s="569">
        <f>COUNTIF(AQ79:AQ92,"An interest rate must be provided for all permanent loans.")</f>
        <v>0</v>
      </c>
      <c r="AR93" s="570">
        <f>COUNTIF(AR79:AR92,"A term (in months) must be provided for all permanent loans.")</f>
        <v>0</v>
      </c>
      <c r="AS93" s="570">
        <f>COUNTIF(AS79:AS92,"A loan amortization (in months) must be provided for all permanent loans.")</f>
        <v>0</v>
      </c>
      <c r="AT93" s="41">
        <f t="shared" si="72"/>
        <v>0</v>
      </c>
      <c r="AU93" s="552">
        <f>SUM(AU79:AU92)</f>
        <v>0</v>
      </c>
      <c r="AV93" s="552">
        <f>SUM(AV79:AV92)</f>
        <v>0</v>
      </c>
      <c r="AW93" s="552">
        <f>SUM(AW79:AW92)</f>
        <v>0</v>
      </c>
      <c r="AX93" s="552">
        <f>SUM(AX79:AX92)</f>
        <v>0</v>
      </c>
      <c r="AY93" s="552">
        <f>COUNTIF(AY79:AY92,"A source type must be selected for all listed sources.")</f>
        <v>0</v>
      </c>
      <c r="AZ93" s="552">
        <f>COUNTIF(AZ79:AZ92,"A source description must be selected for all listed sources.")</f>
        <v>0</v>
      </c>
      <c r="BA93" s="552">
        <f>COUNTIF(BA79:BA92,"A source status must be selected for all listed sources.")</f>
        <v>0</v>
      </c>
      <c r="BB93" s="552">
        <f>COUNTIF(BB78:BB92,"A source name must be provided for all sources.")</f>
        <v>0</v>
      </c>
      <c r="BC93" s="552">
        <f>COUNTIF(BC77:BC92,"A source amount must be indicated for all listed sources.")</f>
        <v>0</v>
      </c>
    </row>
    <row r="94" spans="39:55" ht="13.5">
      <c r="AM94" s="551"/>
      <c r="AN94" s="571">
        <f>$AM$74-AN93</f>
        <v>0</v>
      </c>
      <c r="AO94" s="571">
        <f>$AM$74-AO93</f>
        <v>0</v>
      </c>
      <c r="AP94" s="571">
        <f>$AM$74-AP93</f>
        <v>0</v>
      </c>
      <c r="AQ94" s="551" t="str">
        <f>IF(AQ93&gt;0,"An interest rate was not indicated for one or permanent loans listed on the Sources Statement.","")</f>
        <v/>
      </c>
      <c r="AR94" s="551" t="str">
        <f>IF(AR93&gt;0,"A loan term (in months) was not indicated for one or permanent loans listed on the Sources Statement.","")</f>
        <v/>
      </c>
      <c r="AS94" s="551" t="str">
        <f>IF(AS93&gt;0,"A loan amortization (in months) was not indicated for one or permanent loans listed on the Sources Statement.","")</f>
        <v/>
      </c>
      <c r="AT94" s="551"/>
      <c r="AU94" s="551"/>
      <c r="AV94" s="551"/>
      <c r="AW94" s="551"/>
      <c r="AX94" s="551"/>
      <c r="AY94" s="551" t="str">
        <f>IF(AY93&gt;0,"A source type was not selected for all listed sources.","")</f>
        <v/>
      </c>
      <c r="AZ94" s="551" t="str">
        <f>IF(AZ93&gt;0,"A source description was not selected for all listed sources.","")</f>
        <v/>
      </c>
      <c r="BA94" s="551" t="str">
        <f>IF(BA93&gt;0,"A source status was not selected for all listed sources.","")</f>
        <v/>
      </c>
      <c r="BB94" s="551" t="str">
        <f>IF(BB93&gt;0,"A source name must be provided for all sources.","")</f>
        <v/>
      </c>
      <c r="BC94" s="551" t="str">
        <f>IF(BC93&gt;0,"A source amount must be indicated for all listed sources.","")</f>
        <v/>
      </c>
    </row>
    <row r="95" spans="39:55" ht="13.5">
      <c r="AU95" s="551"/>
      <c r="AV95" s="551"/>
      <c r="AW95" s="551"/>
      <c r="AX95" s="551"/>
      <c r="AY95" s="551"/>
      <c r="AZ95" s="551"/>
      <c r="BA95" s="551"/>
      <c r="BB95" s="551"/>
    </row>
    <row r="96" spans="39:55" ht="13.5">
      <c r="AU96" s="551"/>
      <c r="AV96" s="551"/>
      <c r="AW96" s="551"/>
      <c r="AX96" s="551"/>
      <c r="AY96" s="551"/>
      <c r="AZ96" s="551"/>
      <c r="BA96" s="551"/>
      <c r="BB96" s="551"/>
    </row>
    <row r="97" spans="39:45" ht="13.5">
      <c r="AM97" s="556" t="s">
        <v>958</v>
      </c>
      <c r="AN97" s="557" t="s">
        <v>818</v>
      </c>
      <c r="AO97" s="557" t="s">
        <v>819</v>
      </c>
      <c r="AP97" s="557" t="s">
        <v>820</v>
      </c>
      <c r="AQ97" s="558" t="s">
        <v>821</v>
      </c>
      <c r="AR97" s="558" t="s">
        <v>822</v>
      </c>
      <c r="AS97" s="558" t="s">
        <v>955</v>
      </c>
    </row>
    <row r="98" spans="39:45">
      <c r="AM98" s="561"/>
      <c r="AN98" s="562"/>
      <c r="AO98" s="562"/>
      <c r="AP98" s="562"/>
      <c r="AQ98" s="562"/>
      <c r="AR98" s="562"/>
      <c r="AS98" s="563"/>
    </row>
    <row r="99" spans="39:45" ht="13.5">
      <c r="AM99" s="546">
        <f>IF(AND(G19="Construction Loan",J19&lt;&gt;"Deferred"),1,0)</f>
        <v>0</v>
      </c>
      <c r="AN99" s="546" t="str">
        <f>IF(AND(AM99=1,L19=""),1,"")</f>
        <v/>
      </c>
      <c r="AO99" s="546" t="str">
        <f>IF(AND(AM99=1,M19=""),1,"")</f>
        <v/>
      </c>
      <c r="AP99" s="546"/>
      <c r="AQ99" s="547" t="str">
        <f>IF(AND(AM99=1,AN99=1),"An interest rate must be provided for all permanent loans.","")</f>
        <v/>
      </c>
      <c r="AR99" s="547" t="str">
        <f>IF(AND(AM99=1,AO99=1),"A term (in months) must be provided for all permanent loans.","")</f>
        <v/>
      </c>
      <c r="AS99" s="547" t="str">
        <f>IF(AND(AM99=1,AP99=1),"A loan amortization (in months) must be provided for all permanent loans.","")</f>
        <v/>
      </c>
    </row>
    <row r="100" spans="39:45" ht="13.5">
      <c r="AM100" s="546">
        <f t="shared" ref="AM100:AM110" si="81">IF(AND(G20="Construction Loan",J20&lt;&gt;"Deferred"),1,0)</f>
        <v>0</v>
      </c>
      <c r="AN100" s="546" t="str">
        <f t="shared" ref="AN100:AN110" si="82">IF(AND(AM100=1,L20=""),1,"")</f>
        <v/>
      </c>
      <c r="AO100" s="546" t="str">
        <f t="shared" ref="AO100:AO110" si="83">IF(AND(AM100=1,M20=""),1,"")</f>
        <v/>
      </c>
      <c r="AP100" s="546"/>
      <c r="AQ100" s="547" t="str">
        <f t="shared" ref="AQ100:AQ110" si="84">IF(AND(AM100=1,AN100=1),"An interest rate must be provided for all permanent loans.","")</f>
        <v/>
      </c>
      <c r="AR100" s="547" t="str">
        <f t="shared" ref="AR100:AR101" si="85">IF(AND(AM100=1,AO100=1),"A term (in months) must be provided for all permanent loans.","")</f>
        <v/>
      </c>
      <c r="AS100" s="547" t="str">
        <f t="shared" ref="AS100:AS101" si="86">IF(AND(AM100=1,AP100=1),"A loan amortization (in months) must be provided for all permanent loans.","")</f>
        <v/>
      </c>
    </row>
    <row r="101" spans="39:45" ht="13.5">
      <c r="AM101" s="546">
        <f t="shared" si="81"/>
        <v>0</v>
      </c>
      <c r="AN101" s="546" t="str">
        <f t="shared" si="82"/>
        <v/>
      </c>
      <c r="AO101" s="546" t="str">
        <f t="shared" si="83"/>
        <v/>
      </c>
      <c r="AP101" s="546"/>
      <c r="AQ101" s="547" t="str">
        <f t="shared" si="84"/>
        <v/>
      </c>
      <c r="AR101" s="547" t="str">
        <f t="shared" si="85"/>
        <v/>
      </c>
      <c r="AS101" s="547" t="str">
        <f t="shared" si="86"/>
        <v/>
      </c>
    </row>
    <row r="102" spans="39:45" ht="13.5">
      <c r="AM102" s="546">
        <f t="shared" si="81"/>
        <v>0</v>
      </c>
      <c r="AN102" s="546" t="str">
        <f t="shared" si="82"/>
        <v/>
      </c>
      <c r="AO102" s="546" t="str">
        <f t="shared" si="83"/>
        <v/>
      </c>
      <c r="AP102" s="546"/>
      <c r="AQ102" s="547" t="str">
        <f t="shared" si="84"/>
        <v/>
      </c>
      <c r="AR102" s="547" t="str">
        <f>IF(AND(AM102=1,AO102=1),"A term (in months) must be provided for all permanent loans.","")</f>
        <v/>
      </c>
      <c r="AS102" s="547" t="str">
        <f>IF(AND(AM102=1,AP102=1),"A loan amortization (in months) must be provided for all permanent loans.","")</f>
        <v/>
      </c>
    </row>
    <row r="103" spans="39:45" ht="13.5">
      <c r="AM103" s="546">
        <f t="shared" si="81"/>
        <v>0</v>
      </c>
      <c r="AN103" s="546" t="str">
        <f t="shared" si="82"/>
        <v/>
      </c>
      <c r="AO103" s="546" t="str">
        <f t="shared" si="83"/>
        <v/>
      </c>
      <c r="AP103" s="546"/>
      <c r="AQ103" s="547" t="str">
        <f t="shared" si="84"/>
        <v/>
      </c>
      <c r="AR103" s="547" t="str">
        <f t="shared" ref="AR103:AR110" si="87">IF(AND(AM103=1,AO103=1),"A term (in months) must be provided for all permanent loans.","")</f>
        <v/>
      </c>
      <c r="AS103" s="547" t="str">
        <f t="shared" ref="AS103:AS110" si="88">IF(AND(AM103=1,AP103=1),"A loan amortization (in months) must be provided for all permanent loans.","")</f>
        <v/>
      </c>
    </row>
    <row r="104" spans="39:45" ht="13.5">
      <c r="AM104" s="546">
        <f t="shared" si="81"/>
        <v>0</v>
      </c>
      <c r="AN104" s="546" t="str">
        <f t="shared" si="82"/>
        <v/>
      </c>
      <c r="AO104" s="546" t="str">
        <f t="shared" si="83"/>
        <v/>
      </c>
      <c r="AP104" s="546"/>
      <c r="AQ104" s="547" t="str">
        <f t="shared" si="84"/>
        <v/>
      </c>
      <c r="AR104" s="547" t="str">
        <f t="shared" si="87"/>
        <v/>
      </c>
      <c r="AS104" s="547" t="str">
        <f t="shared" si="88"/>
        <v/>
      </c>
    </row>
    <row r="105" spans="39:45" ht="13.5">
      <c r="AM105" s="546">
        <f t="shared" si="81"/>
        <v>0</v>
      </c>
      <c r="AN105" s="546" t="str">
        <f t="shared" si="82"/>
        <v/>
      </c>
      <c r="AO105" s="546" t="str">
        <f t="shared" si="83"/>
        <v/>
      </c>
      <c r="AP105" s="546"/>
      <c r="AQ105" s="547" t="str">
        <f t="shared" si="84"/>
        <v/>
      </c>
      <c r="AR105" s="547" t="str">
        <f t="shared" si="87"/>
        <v/>
      </c>
      <c r="AS105" s="547" t="str">
        <f t="shared" si="88"/>
        <v/>
      </c>
    </row>
    <row r="106" spans="39:45" ht="13.5">
      <c r="AM106" s="546">
        <f t="shared" si="81"/>
        <v>0</v>
      </c>
      <c r="AN106" s="546" t="str">
        <f t="shared" si="82"/>
        <v/>
      </c>
      <c r="AO106" s="546" t="str">
        <f t="shared" si="83"/>
        <v/>
      </c>
      <c r="AP106" s="546"/>
      <c r="AQ106" s="547" t="str">
        <f t="shared" si="84"/>
        <v/>
      </c>
      <c r="AR106" s="547" t="str">
        <f t="shared" si="87"/>
        <v/>
      </c>
      <c r="AS106" s="547" t="str">
        <f t="shared" si="88"/>
        <v/>
      </c>
    </row>
    <row r="107" spans="39:45" ht="13.5">
      <c r="AM107" s="546">
        <f t="shared" si="81"/>
        <v>0</v>
      </c>
      <c r="AN107" s="546" t="str">
        <f t="shared" si="82"/>
        <v/>
      </c>
      <c r="AO107" s="546" t="str">
        <f t="shared" si="83"/>
        <v/>
      </c>
      <c r="AP107" s="546"/>
      <c r="AQ107" s="547" t="str">
        <f t="shared" si="84"/>
        <v/>
      </c>
      <c r="AR107" s="547" t="str">
        <f t="shared" si="87"/>
        <v/>
      </c>
      <c r="AS107" s="547" t="str">
        <f t="shared" si="88"/>
        <v/>
      </c>
    </row>
    <row r="108" spans="39:45" ht="13.5">
      <c r="AM108" s="546">
        <f t="shared" si="81"/>
        <v>0</v>
      </c>
      <c r="AN108" s="546" t="str">
        <f t="shared" si="82"/>
        <v/>
      </c>
      <c r="AO108" s="546" t="str">
        <f t="shared" si="83"/>
        <v/>
      </c>
      <c r="AP108" s="546"/>
      <c r="AQ108" s="547" t="str">
        <f t="shared" si="84"/>
        <v/>
      </c>
      <c r="AR108" s="547" t="str">
        <f t="shared" si="87"/>
        <v/>
      </c>
      <c r="AS108" s="547" t="str">
        <f t="shared" si="88"/>
        <v/>
      </c>
    </row>
    <row r="109" spans="39:45" ht="13.5">
      <c r="AM109" s="546">
        <f t="shared" si="81"/>
        <v>0</v>
      </c>
      <c r="AN109" s="546" t="str">
        <f t="shared" si="82"/>
        <v/>
      </c>
      <c r="AO109" s="546" t="str">
        <f t="shared" si="83"/>
        <v/>
      </c>
      <c r="AP109" s="546"/>
      <c r="AQ109" s="547" t="str">
        <f t="shared" si="84"/>
        <v/>
      </c>
      <c r="AR109" s="547" t="str">
        <f t="shared" si="87"/>
        <v/>
      </c>
      <c r="AS109" s="547" t="str">
        <f t="shared" si="88"/>
        <v/>
      </c>
    </row>
    <row r="110" spans="39:45" ht="13.5">
      <c r="AM110" s="546">
        <f t="shared" si="81"/>
        <v>0</v>
      </c>
      <c r="AN110" s="546" t="str">
        <f t="shared" si="82"/>
        <v/>
      </c>
      <c r="AO110" s="546" t="str">
        <f t="shared" si="83"/>
        <v/>
      </c>
      <c r="AP110" s="546"/>
      <c r="AQ110" s="547" t="str">
        <f t="shared" si="84"/>
        <v/>
      </c>
      <c r="AR110" s="547" t="str">
        <f t="shared" si="87"/>
        <v/>
      </c>
      <c r="AS110" s="547" t="str">
        <f t="shared" si="88"/>
        <v/>
      </c>
    </row>
    <row r="111" spans="39:45" ht="13.5">
      <c r="AM111" s="568">
        <f>SUM(AM99:AM110)</f>
        <v>0</v>
      </c>
      <c r="AN111" s="552">
        <f>SUM(AN99:AN110)</f>
        <v>0</v>
      </c>
      <c r="AO111" s="552">
        <f>SUM(AO99:AO110)</f>
        <v>0</v>
      </c>
      <c r="AP111" s="552"/>
      <c r="AQ111" s="569">
        <f>COUNTIF(AQ99:AQ110,"An interest rate must be provided for all permanent loans.")</f>
        <v>0</v>
      </c>
      <c r="AR111" s="570">
        <f>COUNTIF(AR99:AR110,"A term (in months) must be provided for all permanent loans.")</f>
        <v>0</v>
      </c>
      <c r="AS111" s="570">
        <f>COUNTIF(AS99:AS110,"A loan amortization (in months) must be provided for all permanent loans.")</f>
        <v>0</v>
      </c>
    </row>
    <row r="112" spans="39:45" ht="13.5">
      <c r="AM112" s="551"/>
      <c r="AN112" s="571">
        <f>$AM$111-AN111</f>
        <v>0</v>
      </c>
      <c r="AO112" s="571">
        <f>$AO$111-AO111</f>
        <v>0</v>
      </c>
      <c r="AP112" s="571"/>
      <c r="AQ112" s="551" t="str">
        <f>IF(AQ111&gt;0,"An interest rate was not indicated for one or permanent loans listed on the Sources Statement.","")</f>
        <v/>
      </c>
      <c r="AR112" s="551" t="str">
        <f>IF(AR111&gt;0,"A loan term (in months) was not indicated for one or permanent loans listed on the Sources Statement.","")</f>
        <v/>
      </c>
      <c r="AS112" s="551" t="str">
        <f>IF(AS111&gt;0,"A loan amortization (in months) was not indicated for one or permanent loans listed on the Sources Statement.","")</f>
        <v/>
      </c>
    </row>
  </sheetData>
  <sheetProtection password="C9A3" sheet="1" objects="1" scenarios="1" selectLockedCells="1"/>
  <sortState ref="AP47:AP49">
    <sortCondition ref="AP47"/>
  </sortState>
  <mergeCells count="69">
    <mergeCell ref="N9:O9"/>
    <mergeCell ref="I9:J9"/>
    <mergeCell ref="L9:M9"/>
    <mergeCell ref="AU38:AV38"/>
    <mergeCell ref="AM55:AN55"/>
    <mergeCell ref="D39:E39"/>
    <mergeCell ref="D38:E38"/>
    <mergeCell ref="D47:E47"/>
    <mergeCell ref="D46:E46"/>
    <mergeCell ref="D40:E40"/>
    <mergeCell ref="D45:E45"/>
    <mergeCell ref="D44:E44"/>
    <mergeCell ref="D42:E42"/>
    <mergeCell ref="D41:E41"/>
    <mergeCell ref="D43:E43"/>
    <mergeCell ref="N2:Q2"/>
    <mergeCell ref="I1:Q1"/>
    <mergeCell ref="C9:D9"/>
    <mergeCell ref="D27:E27"/>
    <mergeCell ref="D26:E26"/>
    <mergeCell ref="D25:E25"/>
    <mergeCell ref="D24:E24"/>
    <mergeCell ref="D23:E23"/>
    <mergeCell ref="D22:E22"/>
    <mergeCell ref="D21:E21"/>
    <mergeCell ref="K16:P16"/>
    <mergeCell ref="K15:O15"/>
    <mergeCell ref="O3:P3"/>
    <mergeCell ref="H4:Q4"/>
    <mergeCell ref="E8:E10"/>
    <mergeCell ref="C12:Q12"/>
    <mergeCell ref="AM77:AN77"/>
    <mergeCell ref="C53:P53"/>
    <mergeCell ref="D55:P55"/>
    <mergeCell ref="D49:E49"/>
    <mergeCell ref="D58:E58"/>
    <mergeCell ref="D57:E57"/>
    <mergeCell ref="D50:E50"/>
    <mergeCell ref="D72:E72"/>
    <mergeCell ref="D71:E71"/>
    <mergeCell ref="D70:E70"/>
    <mergeCell ref="D67:E67"/>
    <mergeCell ref="D66:E66"/>
    <mergeCell ref="D56:E56"/>
    <mergeCell ref="D60:E60"/>
    <mergeCell ref="D59:E59"/>
    <mergeCell ref="D69:E69"/>
    <mergeCell ref="D68:E68"/>
    <mergeCell ref="D48:E48"/>
    <mergeCell ref="D65:E65"/>
    <mergeCell ref="D64:E64"/>
    <mergeCell ref="D63:E63"/>
    <mergeCell ref="D62:E62"/>
    <mergeCell ref="D61:E61"/>
    <mergeCell ref="D36:E36"/>
    <mergeCell ref="D37:E37"/>
    <mergeCell ref="D35:E35"/>
    <mergeCell ref="D34:E34"/>
    <mergeCell ref="D31:E31"/>
    <mergeCell ref="C15:D15"/>
    <mergeCell ref="F15:G15"/>
    <mergeCell ref="D33:E33"/>
    <mergeCell ref="D17:E18"/>
    <mergeCell ref="D28:E28"/>
    <mergeCell ref="D29:E29"/>
    <mergeCell ref="D30:E30"/>
    <mergeCell ref="D20:E20"/>
    <mergeCell ref="D19:E19"/>
    <mergeCell ref="C16:E16"/>
  </mergeCells>
  <phoneticPr fontId="0" type="noConversion"/>
  <conditionalFormatting sqref="H15">
    <cfRule type="expression" dxfId="367" priority="297">
      <formula>AM19=1</formula>
    </cfRule>
    <cfRule type="expression" dxfId="366" priority="303">
      <formula>$E$15&lt;&gt;"Owner-occupied"</formula>
    </cfRule>
  </conditionalFormatting>
  <conditionalFormatting sqref="L59:L72">
    <cfRule type="expression" dxfId="365" priority="98">
      <formula>AD59=3</formula>
    </cfRule>
  </conditionalFormatting>
  <conditionalFormatting sqref="M59:M72">
    <cfRule type="expression" dxfId="364" priority="97">
      <formula>AD59=3</formula>
    </cfRule>
  </conditionalFormatting>
  <conditionalFormatting sqref="L35:L49">
    <cfRule type="expression" dxfId="363" priority="92">
      <formula>AD35=3</formula>
    </cfRule>
  </conditionalFormatting>
  <conditionalFormatting sqref="M35:M49">
    <cfRule type="expression" dxfId="362" priority="91">
      <formula>AD35=3</formula>
    </cfRule>
  </conditionalFormatting>
  <conditionalFormatting sqref="N59:N72 N35:N49">
    <cfRule type="expression" dxfId="361" priority="61">
      <formula>J35="Deferred"</formula>
    </cfRule>
    <cfRule type="expression" dxfId="360" priority="64">
      <formula>IF(AND(AD35=3,V35=0),1,0)</formula>
    </cfRule>
    <cfRule type="expression" dxfId="359" priority="90">
      <formula>IF(AND(AD35=3,V35=1),1,0)</formula>
    </cfRule>
  </conditionalFormatting>
  <conditionalFormatting sqref="W33:W49">
    <cfRule type="expression" dxfId="358" priority="89">
      <formula>AF33=3</formula>
    </cfRule>
  </conditionalFormatting>
  <conditionalFormatting sqref="N59:N72">
    <cfRule type="expression" dxfId="357" priority="60">
      <formula>J59="Deferred"</formula>
    </cfRule>
    <cfRule type="expression" dxfId="356" priority="344">
      <formula>IF(AND(AD59=3,V35=0,$H$15="Yes"),1,0)</formula>
    </cfRule>
  </conditionalFormatting>
  <conditionalFormatting sqref="C53:Q79">
    <cfRule type="expression" dxfId="355" priority="346">
      <formula>$H$15&lt;&gt;"Yes"</formula>
    </cfRule>
  </conditionalFormatting>
  <conditionalFormatting sqref="P57:P58 K57:N58">
    <cfRule type="expression" dxfId="354" priority="347">
      <formula>$H$15="Yes"</formula>
    </cfRule>
  </conditionalFormatting>
  <conditionalFormatting sqref="F15:G15">
    <cfRule type="expression" dxfId="353" priority="86">
      <formula>$E$15&lt;&gt;"Owner-occupied"</formula>
    </cfRule>
  </conditionalFormatting>
  <conditionalFormatting sqref="C12:Q12">
    <cfRule type="expression" dxfId="352" priority="75">
      <formula>$H$15&lt;&gt;"Yes"</formula>
    </cfRule>
  </conditionalFormatting>
  <conditionalFormatting sqref="L35:L49">
    <cfRule type="expression" dxfId="351" priority="72">
      <formula>AD35&lt;&gt;3</formula>
    </cfRule>
  </conditionalFormatting>
  <conditionalFormatting sqref="L59:L72">
    <cfRule type="expression" dxfId="350" priority="70">
      <formula>AE59=1</formula>
    </cfRule>
  </conditionalFormatting>
  <conditionalFormatting sqref="Q35:Q49">
    <cfRule type="expression" dxfId="349" priority="54">
      <formula>$U35=1</formula>
    </cfRule>
    <cfRule type="expression" dxfId="348" priority="68">
      <formula>$W35=0</formula>
    </cfRule>
  </conditionalFormatting>
  <conditionalFormatting sqref="Q59:Q72">
    <cfRule type="expression" dxfId="347" priority="53">
      <formula>$U59=1</formula>
    </cfRule>
    <cfRule type="expression" dxfId="346" priority="66">
      <formula>$W59=1</formula>
    </cfRule>
  </conditionalFormatting>
  <conditionalFormatting sqref="T33:T49">
    <cfRule type="expression" dxfId="345" priority="1243">
      <formula>AF33=3</formula>
    </cfRule>
  </conditionalFormatting>
  <conditionalFormatting sqref="O35:O49">
    <cfRule type="expression" dxfId="344" priority="13">
      <formula>IF(AND($J$35&lt;&gt;"Conventional",$V34="No"),1,0)</formula>
    </cfRule>
    <cfRule type="expression" dxfId="343" priority="27">
      <formula>IF(AND($V$34&lt;&gt;"Yes",$V$34&lt;&gt;"Select 'Yes' or 'No'",$AD35=3),1,0)</formula>
    </cfRule>
    <cfRule type="expression" dxfId="342" priority="65">
      <formula>V35=1</formula>
    </cfRule>
  </conditionalFormatting>
  <conditionalFormatting sqref="N59:N72 N35:N49">
    <cfRule type="expression" dxfId="341" priority="63">
      <formula>IF(AND(J35="Deferred",V35=1),1,0)</formula>
    </cfRule>
  </conditionalFormatting>
  <conditionalFormatting sqref="J35:J49">
    <cfRule type="expression" dxfId="340" priority="62">
      <formula>IF(G35&lt;&gt;"Permanent Loan",1)</formula>
    </cfRule>
  </conditionalFormatting>
  <conditionalFormatting sqref="J59:J72">
    <cfRule type="expression" dxfId="339" priority="56">
      <formula>IF(AND($H$15="Yes",G59&lt;&gt;"Permanent Loan",G59&lt;&gt;"Tribal Funding"),1,0)</formula>
    </cfRule>
  </conditionalFormatting>
  <conditionalFormatting sqref="J57:J58">
    <cfRule type="expression" dxfId="338" priority="55">
      <formula>$H$15="Yes"</formula>
    </cfRule>
  </conditionalFormatting>
  <conditionalFormatting sqref="P35:P49">
    <cfRule type="expression" dxfId="337" priority="8">
      <formula>IF(AND($J35="Deferred",$V$34="Yes"),1)</formula>
    </cfRule>
    <cfRule type="expression" dxfId="336" priority="9">
      <formula>IF(AND($J35="Other",$V$34="Yes"),1)</formula>
    </cfRule>
    <cfRule type="expression" dxfId="335" priority="10">
      <formula>IF(AND($J35="Cash Flow",$V$34="Yes"),1)</formula>
    </cfRule>
    <cfRule type="expression" dxfId="334" priority="24">
      <formula>IF(AND($J35="Other",$V$34&lt;&gt;"Yes",$V$34&lt;&gt;"Select 'Yes' or 'No'"),1,0)</formula>
    </cfRule>
    <cfRule type="expression" dxfId="333" priority="25">
      <formula>IF(AND($V$34&lt;&gt;"No",$AD35=3,$V$34&lt;&gt;"Select 'Yes' or 'No'"),1,0)</formula>
    </cfRule>
    <cfRule type="expression" dxfId="332" priority="26">
      <formula>IF(AND($V$34&lt;&gt;"Yes",$AD35=3),1,0)</formula>
    </cfRule>
  </conditionalFormatting>
  <conditionalFormatting sqref="U33:V34">
    <cfRule type="expression" dxfId="331" priority="1425">
      <formula>AF33=3</formula>
    </cfRule>
  </conditionalFormatting>
  <conditionalFormatting sqref="P59:P72 P35:P49">
    <cfRule type="expression" dxfId="330" priority="12">
      <formula>$G35="Tribal Funding"</formula>
    </cfRule>
    <cfRule type="expression" dxfId="329" priority="18">
      <formula>IF(AND($J35&lt;&gt;"Conventional",$J35&lt;&gt;""),1,0)</formula>
    </cfRule>
    <cfRule type="expression" dxfId="328" priority="22">
      <formula>IF($J35="Other",1,0)</formula>
    </cfRule>
    <cfRule type="expression" dxfId="327" priority="44">
      <formula>$G35="Donation"</formula>
    </cfRule>
    <cfRule type="expression" dxfId="326" priority="45">
      <formula>$G35="Tax Credit"</formula>
    </cfRule>
    <cfRule type="expression" dxfId="325" priority="47">
      <formula>$G35="Equity"</formula>
    </cfRule>
    <cfRule type="expression" dxfId="324" priority="49">
      <formula>$G35="Grant"</formula>
    </cfRule>
    <cfRule type="expression" dxfId="323" priority="50">
      <formula>$T35=1</formula>
    </cfRule>
    <cfRule type="expression" dxfId="322" priority="51">
      <formula>$W35=1</formula>
    </cfRule>
    <cfRule type="expression" dxfId="321" priority="52">
      <formula>$U35=1</formula>
    </cfRule>
  </conditionalFormatting>
  <conditionalFormatting sqref="K59:K72 K39:K49 K35:K36">
    <cfRule type="expression" dxfId="320" priority="41">
      <formula>IF(AND($I35="Requested",$G35&lt;&gt;"Permanent Loan",$G35&lt;&gt;""),1,0)</formula>
    </cfRule>
    <cfRule type="expression" dxfId="319" priority="42">
      <formula>IF(AND($I35="Proposed",$G35&lt;&gt;"Permanent Loan",$G35&lt;&gt;""),1,0)</formula>
    </cfRule>
    <cfRule type="expression" dxfId="318" priority="69">
      <formula>IF(AND($I51="Requested",$G51="Permanent Loan"),1,0)</formula>
    </cfRule>
    <cfRule type="expression" dxfId="317" priority="73">
      <formula>IF(AND($I67="Proposed",$G67="Permanent Loan"),1,0)</formula>
    </cfRule>
  </conditionalFormatting>
  <conditionalFormatting sqref="L19:L30">
    <cfRule type="expression" dxfId="316" priority="36">
      <formula>AD19=3</formula>
    </cfRule>
  </conditionalFormatting>
  <conditionalFormatting sqref="M19:M30">
    <cfRule type="expression" dxfId="315" priority="35">
      <formula>AD19=3</formula>
    </cfRule>
  </conditionalFormatting>
  <conditionalFormatting sqref="L19:L30">
    <cfRule type="expression" dxfId="314" priority="34">
      <formula>AD19&lt;&gt;3</formula>
    </cfRule>
  </conditionalFormatting>
  <conditionalFormatting sqref="K19:K30">
    <cfRule type="expression" dxfId="313" priority="30">
      <formula>IF(AND($I19="Proposed",$G19&lt;&gt;"Construction Loan",$G19&lt;&gt;""),1,0)</formula>
    </cfRule>
    <cfRule type="expression" dxfId="312" priority="31">
      <formula>IF(AND($I19="Requested",$G19&lt;&gt;"Construction Loan",$G19&lt;&gt;""),1,0)</formula>
    </cfRule>
  </conditionalFormatting>
  <conditionalFormatting sqref="O59:O72">
    <cfRule type="expression" dxfId="311" priority="28">
      <formula>$AD59=3</formula>
    </cfRule>
  </conditionalFormatting>
  <conditionalFormatting sqref="R33:S49">
    <cfRule type="expression" dxfId="310" priority="1427">
      <formula>AE33=3</formula>
    </cfRule>
  </conditionalFormatting>
  <conditionalFormatting sqref="Q35:Q49 Q59:Q72">
    <cfRule type="expression" dxfId="309" priority="19">
      <formula>$J35="Cash Flow"</formula>
    </cfRule>
    <cfRule type="expression" dxfId="308" priority="20">
      <formula>$J35="Other"</formula>
    </cfRule>
  </conditionalFormatting>
  <conditionalFormatting sqref="W59:W72">
    <cfRule type="expression" dxfId="307" priority="16">
      <formula>AF59=3</formula>
    </cfRule>
  </conditionalFormatting>
  <conditionalFormatting sqref="T59:T72">
    <cfRule type="expression" dxfId="306" priority="15">
      <formula>AF59=3</formula>
    </cfRule>
  </conditionalFormatting>
  <conditionalFormatting sqref="S59:S72">
    <cfRule type="expression" dxfId="305" priority="14">
      <formula>AF59=3</formula>
    </cfRule>
  </conditionalFormatting>
  <conditionalFormatting sqref="H4 D6:M6">
    <cfRule type="expression" dxfId="304" priority="1484">
      <formula>$H$4="Input the project name and AHP Project Number at the top of the 'Instructions' tab."</formula>
    </cfRule>
  </conditionalFormatting>
  <conditionalFormatting sqref="K38">
    <cfRule type="expression" dxfId="303" priority="1656">
      <formula>IF(AND($I37="Requested",$G37&lt;&gt;"Permanent Loan",$G37&lt;&gt;""),1,0)</formula>
    </cfRule>
    <cfRule type="expression" dxfId="302" priority="1657">
      <formula>IF(AND($I37="Proposed",$G37&lt;&gt;"Permanent Loan",$G37&lt;&gt;""),1,0)</formula>
    </cfRule>
    <cfRule type="expression" dxfId="301" priority="1658">
      <formula>IF(AND($I53="Requested",$G53="Permanent Loan"),1,0)</formula>
    </cfRule>
    <cfRule type="expression" dxfId="300" priority="1659">
      <formula>IF(AND($I69="Proposed",$G69="Permanent Loan"),1,0)</formula>
    </cfRule>
  </conditionalFormatting>
  <conditionalFormatting sqref="K37">
    <cfRule type="expression" dxfId="299" priority="1">
      <formula>IF(AND($I37="Requested",$G37&lt;&gt;"Permanent Loan",$G37&lt;&gt;""),1,0)</formula>
    </cfRule>
    <cfRule type="expression" dxfId="298" priority="2">
      <formula>IF(AND($I37="Proposed",$G37&lt;&gt;"Permanent Loan",$G37&lt;&gt;""),1,0)</formula>
    </cfRule>
    <cfRule type="expression" dxfId="297" priority="3">
      <formula>IF(AND($I53="Requested",$G53="Permanent Loan"),1,0)</formula>
    </cfRule>
    <cfRule type="expression" dxfId="296" priority="4">
      <formula>IF(AND($I69="Proposed",$G69="Permanent Loan"),1,0)</formula>
    </cfRule>
  </conditionalFormatting>
  <dataValidations xWindow="439" yWindow="471" count="43">
    <dataValidation type="list" allowBlank="1" showInputMessage="1" showErrorMessage="1" sqref="AH31 Y31">
      <formula1>$AS$35:$AS$37</formula1>
    </dataValidation>
    <dataValidation type="list" allowBlank="1" showInputMessage="1" showErrorMessage="1" sqref="X31">
      <formula1>$AR$35:$AR$37</formula1>
    </dataValidation>
    <dataValidation type="list" allowBlank="1" showInputMessage="1" showErrorMessage="1" sqref="AH19:AH30 AH57:AH58 AH34">
      <formula1>$AT$32:$AT$38</formula1>
    </dataValidation>
    <dataValidation type="list" allowBlank="1" showInputMessage="1" showErrorMessage="1" sqref="I18:J18">
      <formula1>$AQ$34:$AQ$37</formula1>
    </dataValidation>
    <dataValidation type="decimal" allowBlank="1" showInputMessage="1" showErrorMessage="1" sqref="F31 F50">
      <formula1>0</formula1>
      <formula2>99999999999.99</formula2>
    </dataValidation>
    <dataValidation type="decimal" allowBlank="1" showInputMessage="1" showErrorMessage="1" error="Numerical value is required. If an interest rate is not applicable, please leave the cell blank." sqref="L57">
      <formula1>0</formula1>
      <formula2>99.999</formula2>
    </dataValidation>
    <dataValidation type="whole" allowBlank="1" showInputMessage="1" showErrorMessage="1" error="Whole numbers are required. If term is not applicable please leave the cell blank." sqref="M57">
      <formula1>1</formula1>
      <formula2>999</formula2>
    </dataValidation>
    <dataValidation type="custom" allowBlank="1" showInputMessage="1" showErrorMessage="1" error="1. Souce Type must be a non-deferred 'Permanent Loan' or 'Tribal Funding' in order to input a value'_x000a__x000a_2. Value must be a whole number and greater than 0." sqref="N57:N72">
      <formula1>IF(AND(J57&lt;&gt;"",J57&lt;&gt;"Deferred",N57&gt;0,N57&lt;&gt;"",N57=ROUND(N57,0)),1,0)</formula1>
    </dataValidation>
    <dataValidation type="list" allowBlank="1" showInputMessage="1" showErrorMessage="1" error="Please select a status from the dropdown." prompt="Has the source been proposed, requested or approved?_x000a__x000a_Note: A Source name is required before status can be selected." sqref="I59:I72">
      <formula1>IF(D59="",$AQ$34,$AQ$34:$AQ$37)</formula1>
    </dataValidation>
    <dataValidation type="date" operator="greaterThanOrEqual" allowBlank="1" showInputMessage="1" showErrorMessage="1" error="Please input a valid date using the MM/DD/YYYY format." sqref="J58:K58">
      <formula1>X58</formula1>
    </dataValidation>
    <dataValidation type="custom" showInputMessage="1" showErrorMessage="1" error="1. Souce Type must be 'Permanent Loan' in order to input a value.'_x000a__x000a_2. Value must be numeric." sqref="L59:L72">
      <formula1>IF(AND(G59="Permanent Loan",L59&lt;0.999),1,0)</formula1>
    </dataValidation>
    <dataValidation type="whole" allowBlank="1" showInputMessage="1" showErrorMessage="1" error="Whole numbers are required. If term is not applicable please leave the cell blank." sqref="M19:M30 M58">
      <formula1>1</formula1>
      <formula2>9999</formula2>
    </dataValidation>
    <dataValidation type="decimal" operator="greaterThan" allowBlank="1" showInputMessage="1" showErrorMessage="1" error="A numeric value is required. If debt service is not applicable leave the cell blank." sqref="P58">
      <formula1>-999.99</formula1>
    </dataValidation>
    <dataValidation type="list" allowBlank="1" showInputMessage="1" showErrorMessage="1" error="Please select a source type from the dropdown." sqref="G59:G72">
      <formula1>IF(H59="",$AI$35:$AI$41,"")</formula1>
    </dataValidation>
    <dataValidation type="list" allowBlank="1" showInputMessage="1" showErrorMessage="1" error="Please select a status from the dropdown." prompt="Has the construction source been proposed, requested or approved?_x000a__x000a_Note: A Source name is required before status can be selected." sqref="I19:I30">
      <formula1>IF(D19="",$AQ$34,$AQ$34:$AQ$37)</formula1>
    </dataValidation>
    <dataValidation type="list" showInputMessage="1" showErrorMessage="1" error="Please select a status from the dropdown." prompt="Has the source been proposed, requested or approved?_x000a__x000a_Note: A Source name is required before status can be selected." sqref="I35:I49">
      <formula1>IF(D35="",$AQ$34,$AQ$34:$AQ$37)</formula1>
    </dataValidation>
    <dataValidation type="list" allowBlank="1" showInputMessage="1" showErrorMessage="1" error="Please select a source type from the dropdown." prompt="Permanent loans include loans with debt service as well as deferred or forgivable loans." sqref="G35:G49">
      <formula1>IF(H35="",$AI$35:$AI$41,"")</formula1>
    </dataValidation>
    <dataValidation type="list" allowBlank="1" showErrorMessage="1" prompt="Select a Description" sqref="H18">
      <formula1>IF(G18="",$AK$34,IF(G18=$AJ$36,$AK$34:$AK$45,IF(G18=#REF!,$AK$34:$AK$47,IF(G18=$AJ$37,$AL$34:$AL$44,IF(G18=$AJ$38,$AM$34:$AM$42,IF(G18=$AJ$39,$AN$34:$AN$36,IF(G18=$AJ$41,$AO$34:$AO$39,IF(G18=$AJ$40,$AP$34:$AP$36))))))))</formula1>
    </dataValidation>
    <dataValidation type="list" allowBlank="1" showInputMessage="1" sqref="G18">
      <formula1>$AJ$34:$AJ$41</formula1>
    </dataValidation>
    <dataValidation type="custom" allowBlank="1" showInputMessage="1" showErrorMessage="1" sqref="O3:P3 Q19:Q30 D10 C9:D9 F9:F10 G10:Q10 D8:M8 P8:P9 G9:I9 N9 K9:M9">
      <formula1>"&lt;0&gt;0"</formula1>
    </dataValidation>
    <dataValidation type="custom" allowBlank="1" showInputMessage="1" showErrorMessage="1" error="Value must be numeric and cannot exceed two decimals." sqref="O59:O72 F59:F72 F34:F49">
      <formula1>F34=INT(F34*100)/100</formula1>
    </dataValidation>
    <dataValidation type="list" allowBlank="1" showInputMessage="1" showErrorMessage="1" prompt="Select a construction financing description._x000a__x000a_Note: The type of financing must first be selected before the description can be selected." sqref="H59:H72">
      <formula1>IF(G59="",$AK$34,IF(G59=$AI$36,$AK$34:$AK$46,IF(G59=$AI$37,$AL$34:$AL$44,IF(G59=$AI$38,$AM$34:$AM$42,IF(G59=$AI$39,$AN$34:$AN$36,IF(G59=$AI$40,$AP$34:$AP$37,IF(G59=$AI$41,$AO$34:$AO$39)))))))</formula1>
    </dataValidation>
    <dataValidation type="list" showInputMessage="1" showErrorMessage="1" error="Select type of repayment from the dropdown._x000a__x000a_Note: Source type must be permanent loan before type of repayment can be selected." sqref="J59:J72 J35:J49">
      <formula1>IF(G35="",$X$34,IF(OR(G35=$AI$41,G35=$AI$36),$X$34:$X$38))</formula1>
    </dataValidation>
    <dataValidation type="custom" allowBlank="1" showInputMessage="1" showErrorMessage="1" error="Annual debt service can only be input manually for permanent loans with non-conventional (other) repayment or cash flow repayment." sqref="Q35:Q49 Q59:Q72">
      <formula1>IF(OR(W35=1,U35=1),1,0)</formula1>
    </dataValidation>
    <dataValidation type="list" showInputMessage="1" showErrorMessage="1" error="Select source description from the dropdown._x000a__x000a_Note: Source type must be selected before a description can be selected." prompt="Select a construction financing description._x000a__x000a_Note: The type of financing must first be selected before the description can be selected." sqref="H19:H30">
      <formula1>IF(G19=" ",$AK$34,IF(G19=$AJ$36,$AK$34:$AK$46,IF(G19=$AJ$37,$AL$34:$AL$44,IF(G19=$AJ$38,$AM$34:$AM$42,IF(G19=$AJ$39,$AN$34:$AN$36,IF(G19=$AJ$40,$AP$34:$AP$37,IF(G19=$AJ$41,$AO$34:$AO$39)))))))</formula1>
    </dataValidation>
    <dataValidation type="list" allowBlank="1" showInputMessage="1" showErrorMessage="1" error="Select source description from the dropdown._x000a__x000a_Note: Source type must be selected before a description can be selected." prompt="Select a permanent financing description._x000a__x000a_Note: The type of financing must first be selected before the description can be selected." sqref="H35:H49">
      <formula1>IF(G35=" ",$AK$34,IF(G35=$AI$36,$AK$34:$AK$46,IF(G35=$AI$37,$AL$34:$AL$44,IF(G35=$AI$38,$AM$34:$AM$42,IF(G35=$AI$39,$AN$34:$AN$36,IF(G35=$AI$40,$AP$34:$AP$37,IF(G35=$AI$41,$AO$34:$AO$39)))))))</formula1>
    </dataValidation>
    <dataValidation type="list" allowBlank="1" showInputMessage="1" showErrorMessage="1" prompt="Select type of construction financing." sqref="G19:G30">
      <formula1>IF(H19="",$AJ$35:$AJ$41,"")</formula1>
    </dataValidation>
    <dataValidation type="custom" showInputMessage="1" showErrorMessage="1" error="Possible validations:_x000a__x000a_1. Commercial space was not indicated on the 'Project Info and Instructions' Tab._x000a_Or_x000a_2. Value exceeds four decimals or is not numeric." prompt="Input the percentage of this source that will be used for commercial uses. Input 0 if none." sqref="O35:O49">
      <formula1>IF(V35=0,O35=INT(O35*1000000)/1000000)</formula1>
    </dataValidation>
    <dataValidation type="custom" allowBlank="1" showInputMessage="1" showErrorMessage="1" error="Value must me numeric and contain only two decimals." sqref="F19:F30">
      <formula1>F19=INT(F19*100)/100</formula1>
    </dataValidation>
    <dataValidation type="custom" allowBlank="1" showInputMessage="1" showErrorMessage="1" error="Value must be numeric and cannot exceed two decimals." sqref="F57:F58">
      <formula1>F59:F72=INT(F59:F73*100)/100</formula1>
    </dataValidation>
    <dataValidation type="custom" showInputMessage="1" showErrorMessage="1" error="Possible Errors:_x000a__x000a_1. Souce Type is not 'Permanent Loan' or 'Tribal Funding'._x000a__x000a_2. Value is not numeric." sqref="L35:L49">
      <formula1>IF(AND(G35="Permanent Loan",L35&lt;0.999),1,IF(AND(G35="Tribal Funding",L35&lt;0.999),1,0))</formula1>
    </dataValidation>
    <dataValidation type="custom" showInputMessage="1" showErrorMessage="1" error="Possible Errors:_x000a__x000a_1. Souce Type is not 'Permanent Loan' or 'Tribal Funding'._x000a__x000a_2. Value is not numeric." sqref="M35:M49 M59:M72">
      <formula1>IF(AND(G35="Permanent Loan",M35=ROUND(M35,0)),1,IF(AND(G35="Tribal Funding",M35=ROUND(M35,0)),1,0))</formula1>
    </dataValidation>
    <dataValidation type="custom" showInputMessage="1" showErrorMessage="1" error="1. Souce Type must be a non-deferred 'Permanent Loan' or 'Tribal Funding' in order to input a value'_x000a__x000a_2. Value must be a whole number and greater than 0." sqref="N35:N49">
      <formula1>IF(AND(J35&lt;&gt;"",J35&lt;&gt;"Deferred",N35&gt;0,N35=ROUND(N35,0)),1,0)</formula1>
    </dataValidation>
    <dataValidation type="custom" showInputMessage="1" showErrorMessage="1" error="1. Souce Type must be 'Construction Loan' in order to input a value.'_x000a__x000a_2. Value must be numeric." sqref="L19:L30">
      <formula1>IF(AND(G19="Construction Loan",L19&lt;0.999),1,0)</formula1>
    </dataValidation>
    <dataValidation type="custom" allowBlank="1" showInputMessage="1" showErrorMessage="1" error="Percent of source allocated for commercial is only entered on the Permanent Financing Sources Statement below." sqref="O19:O30">
      <formula1>"&lt;0&gt;0"</formula1>
    </dataValidation>
    <dataValidation type="custom" allowBlank="1" showInputMessage="1" showErrorMessage="1" error="Amortization is not applicable to construction financings sources." sqref="N19:N30">
      <formula1>"&lt;0&gt;0"</formula1>
    </dataValidation>
    <dataValidation type="custom" operator="greaterThan" allowBlank="1" showInputMessage="1" showErrorMessage="1" sqref="P19:P30">
      <formula1>"&lt;0&gt;0"</formula1>
    </dataValidation>
    <dataValidation type="custom" showInputMessage="1" showErrorMessage="1" error="Possible validations:_x000a__x000a_1. A valid date (MM/DD/YYYY) is required_x000a_2. If source status is approved, must be less than or equal to today's date._x000a_3. If source status is proposed or requested, must be greater than today's date._x000a_" prompt="If status is approved, date must be less than or equal to today's date._x000a__x000a_If status is proposed or requested, date must be greater than today's date." sqref="K59:K72 K19:K30 K40:K49 K35:K36">
      <formula1>IF(AND(K19&lt;=Y19,I19="Approved"),1,IF(AND(K19&gt;Y19,I19="Proposed"),1,IF(AND(K19&gt;Y19,I19="Requested"),1)))</formula1>
    </dataValidation>
    <dataValidation type="custom" allowBlank="1" showInputMessage="1" showErrorMessage="1" error="1. A valid date (MM/DD/YYYY) is required_x000a_2. If source status is approved, must be less than or equal to today's date._x000a_3. If source status is proposed or requested, must be greater than today's date._x000a_" prompt="If status is approved, date must be less than or equal to today's date._x000a__x000a_If status is proposed or requested, date must be greater than today's date." sqref="K39">
      <formula1>IF(I39&lt;&gt;"",IF(AND(K39&lt;=Y39,I39="Approved"),1,IF(AND(K39&gt;Y39,I39="Proposed"),1,IF(AND(K39&gt;Y39,I39="Requested"),1))))</formula1>
    </dataValidation>
    <dataValidation type="custom" allowBlank="1" showInputMessage="1" showErrorMessage="1" error="Each permanent source name must be unique." prompt="Input the source name._x000a__x000a_Example: Permanent loan from Bank XYZ._x000a__x000a_Note: Each permanent source names must be unique." sqref="D35:E49">
      <formula1>COUNTIF($D$35:$E$49,$D$35)=1</formula1>
    </dataValidation>
    <dataValidation type="custom" allowBlank="1" showInputMessage="1" showErrorMessage="1" error="Each construction source name must be unique." prompt="Input the source name._x000a__x000a_Example: Permanent loan from Bank XYZ._x000a__x000a_Note: Each permanent source names must be unique." sqref="D19:E30">
      <formula1>COUNTIF($D$19:$E$30,$D$19)=1</formula1>
    </dataValidation>
    <dataValidation type="custom" allowBlank="1" showInputMessage="1" showErrorMessage="1" error="Each permanent source name must be unique." prompt="Input the source name._x000a__x000a_Example: Permanent loan from Bank XYZ._x000a__x000a_Note: Each permanent source names must be unique." sqref="D59:E72">
      <formula1>COUNTIF($D$59:$E$72,$D$59)=1</formula1>
    </dataValidation>
    <dataValidation type="custom" showInputMessage="1" showErrorMessage="1" error="Possible validations:_x000a__x000a_1. A valid date (MM/DD/YYYY) is required_x000a_2. If source status is approved, must be less than or equal to today's date._x000a_3. If source status is proposed or requested, must be greater than today's date._x000a_" prompt="If status is approved, date must be less than or equal to today's date._x000a__x000a_If status is proposed or requested, date must be greater than today's date." sqref="K37:K38">
      <formula1>IF(AND(K37&lt;=Y36,I36="Approved"),1,IF(AND(K37&gt;Y36,I36="Proposed"),1,IF(AND(K37&gt;Y36,I36="Requested"),1)))</formula1>
    </dataValidation>
  </dataValidations>
  <hyperlinks>
    <hyperlink ref="I9" location="'C(2)-Commercial ProForma'!K16" display="'C(2)-Commercial ProForma'!K16"/>
    <hyperlink ref="K9" location="'E-Feasibility Analysis'!M22" display="'E-Feasibility Analysis'!M22"/>
    <hyperlink ref="N9" display="Tenant Income_x000a_Verification (TIV)"/>
    <hyperlink ref="P9" location="'Validation Warnings'!M9" display="'Validation Warnings'!M9"/>
    <hyperlink ref="C9" display="Project Info. &amp; Instructions"/>
    <hyperlink ref="H9" location="'C(1)-Rental Operating ProForma'!L16" display="'C(1)-Rental Operating ProForma'!L16"/>
    <hyperlink ref="F9" location="'A(2)-Uses Statement'!H12" display="'A(2)-Uses Statement'!H12"/>
    <hyperlink ref="C9:D9" location="'Project Info and Instructions'!F16" display="Project Info. &amp; Instructions"/>
    <hyperlink ref="G9" location="'B-Rent Schedule'!D13" display="'B-Rent Schedule'!D13"/>
    <hyperlink ref="L9" display="Tenant Income_x000a_Verification (TIV)"/>
    <hyperlink ref="L9:M9" location="'E(2)-Sources &amp; Uses Analysis'!G19" display="Sources &amp; Uses Analysis"/>
    <hyperlink ref="N9:O9" location="'F-TIV'!O17" display="'F-TIV'!O17"/>
  </hyperlinks>
  <printOptions horizontalCentered="1"/>
  <pageMargins left="0.2" right="0.2" top="0.75" bottom="0.75" header="0.3" footer="0.3"/>
  <pageSetup scale="65" fitToHeight="2" orientation="landscape" r:id="rId1"/>
  <headerFooter scaleWithDoc="0" alignWithMargins="0"/>
  <rowBreaks count="3" manualBreakCount="3">
    <brk id="50" max="16383" man="1"/>
    <brk id="51" max="16383" man="1"/>
    <brk id="52" max="16383" man="1"/>
  </rowBreaks>
  <colBreaks count="1" manualBreakCount="1">
    <brk id="2" max="1048575" man="1"/>
  </colBreaks>
  <drawing r:id="rId2"/>
  <extLst>
    <ext xmlns:x14="http://schemas.microsoft.com/office/spreadsheetml/2009/9/main" uri="{78C0D931-6437-407d-A8EE-F0AAD7539E65}">
      <x14:conditionalFormattings>
        <x14:conditionalFormatting xmlns:xm="http://schemas.microsoft.com/office/excel/2006/main">
          <x14:cfRule type="expression" priority="1296" id="{EDC1A6F5-945A-4893-9501-54CCD93515C2}">
            <xm:f>'Project Info and Instructions'!$F$20="Owner-occupied"</xm:f>
            <x14:dxf>
              <font>
                <strike/>
                <color theme="0" tint="-0.34998626667073579"/>
              </font>
              <fill>
                <patternFill>
                  <bgColor theme="0" tint="-0.14996795556505021"/>
                </patternFill>
              </fill>
            </x14:dxf>
          </x14:cfRule>
          <xm:sqref>H9</xm:sqref>
        </x14:conditionalFormatting>
        <x14:conditionalFormatting xmlns:xm="http://schemas.microsoft.com/office/excel/2006/main">
          <x14:cfRule type="expression" priority="1300" id="{81B4F649-567E-4CDC-AB03-2F6FD935942C}">
            <xm:f>'Project Info and Instructions'!$F$22="No"</xm:f>
            <x14:dxf>
              <font>
                <strike/>
                <color theme="0" tint="-0.34998626667073579"/>
              </font>
              <fill>
                <patternFill>
                  <bgColor theme="0" tint="-0.14996795556505021"/>
                </patternFill>
              </fill>
            </x14:dxf>
          </x14:cfRule>
          <x14:cfRule type="expression" priority="1301" id="{77F1AA03-2655-4DD0-98B8-37A792179915}">
            <xm:f>'Project Info and Instructions'!$F$20="Owner-occupied"</xm:f>
            <x14:dxf>
              <font>
                <strike/>
                <color theme="0" tint="-0.34998626667073579"/>
              </font>
              <fill>
                <patternFill>
                  <bgColor theme="0" tint="-0.14996795556505021"/>
                </patternFill>
              </fill>
            </x14:dxf>
          </x14:cfRule>
          <xm:sqref>I9</xm:sqref>
        </x14:conditionalFormatting>
        <x14:conditionalFormatting xmlns:xm="http://schemas.microsoft.com/office/excel/2006/main">
          <x14:cfRule type="expression" priority="1614" id="{7B053151-DCB5-4462-879A-8BF87E138009}">
            <xm:f>'Project Info and Instructions'!$V$50&gt;6</xm:f>
            <x14:dxf>
              <font>
                <strike/>
                <color theme="0" tint="-0.34998626667073579"/>
              </font>
              <fill>
                <gradientFill degree="90">
                  <stop position="0">
                    <color theme="0" tint="-0.1490218817712943"/>
                  </stop>
                  <stop position="1">
                    <color theme="0" tint="-0.1490218817712943"/>
                  </stop>
                </gradientFill>
              </fill>
            </x14:dxf>
          </x14:cfRule>
          <xm:sqref>G9</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S110"/>
  <sheetViews>
    <sheetView showGridLines="0" zoomScale="90" zoomScaleNormal="90" workbookViewId="0">
      <selection activeCell="H12" sqref="H12"/>
    </sheetView>
  </sheetViews>
  <sheetFormatPr defaultColWidth="9.140625" defaultRowHeight="12.75"/>
  <cols>
    <col min="1" max="1" width="1.140625" style="206" customWidth="1"/>
    <col min="2" max="2" width="6.140625" style="206" customWidth="1"/>
    <col min="3" max="3" width="9" style="206" customWidth="1"/>
    <col min="4" max="5" width="15" style="206" customWidth="1"/>
    <col min="6" max="6" width="0.7109375" style="15" customWidth="1"/>
    <col min="7" max="8" width="14.5703125" style="206" customWidth="1"/>
    <col min="9" max="9" width="13.28515625" style="206" customWidth="1"/>
    <col min="10" max="10" width="17" style="206" customWidth="1"/>
    <col min="11" max="11" width="13.42578125" style="206" customWidth="1"/>
    <col min="12" max="12" width="16" style="206" customWidth="1"/>
    <col min="13" max="14" width="14.5703125" style="206" customWidth="1"/>
    <col min="15" max="15" width="14.5703125" customWidth="1"/>
    <col min="16" max="16" width="4.7109375" style="206" hidden="1" customWidth="1"/>
    <col min="17" max="17" width="9" style="206" hidden="1" customWidth="1"/>
    <col min="18" max="18" width="9.140625" style="49" hidden="1" customWidth="1"/>
    <col min="19" max="19" width="13.5703125" style="15" hidden="1" customWidth="1"/>
    <col min="20" max="20" width="20.42578125" style="15" hidden="1" customWidth="1"/>
    <col min="21" max="21" width="11.5703125" style="15" hidden="1" customWidth="1"/>
    <col min="22" max="24" width="9.140625" style="15" hidden="1" customWidth="1"/>
    <col min="25" max="25" width="18.28515625" style="15" hidden="1" customWidth="1"/>
    <col min="26" max="42" width="9.140625" style="15" hidden="1" customWidth="1"/>
    <col min="43" max="59" width="9.140625" style="15" customWidth="1"/>
    <col min="60" max="16384" width="9.140625" style="15"/>
  </cols>
  <sheetData>
    <row r="1" spans="1:45" ht="15" customHeight="1">
      <c r="K1" s="952"/>
      <c r="L1" s="1823" t="s">
        <v>959</v>
      </c>
      <c r="M1" s="1823"/>
      <c r="N1" s="1823"/>
      <c r="O1" s="1275"/>
    </row>
    <row r="2" spans="1:45" ht="13.5" customHeight="1">
      <c r="M2" s="1833" t="str">
        <f>'Project Info and Instructions'!O2</f>
        <v>Updated January 2018</v>
      </c>
      <c r="N2" s="1833"/>
      <c r="O2" s="909"/>
    </row>
    <row r="3" spans="1:45" ht="6.75" customHeight="1">
      <c r="N3" s="1276"/>
      <c r="O3" s="1276"/>
    </row>
    <row r="4" spans="1:45" ht="15" customHeight="1">
      <c r="A4" s="15"/>
      <c r="B4" s="15"/>
      <c r="C4" s="15"/>
      <c r="D4" s="15"/>
      <c r="E4" s="15"/>
      <c r="G4" s="15"/>
      <c r="H4" s="15"/>
      <c r="I4" s="1834" t="str">
        <f>IF('Project Info and Instructions'!W35&gt;0,"Input the project name and AHP Project Number at the top of the 'Instructions' tab.",'Project Info and Instructions'!F18&amp;" - "&amp;'Project Info and Instructions'!F16)</f>
        <v>Input the project name and AHP Project Number at the top of the 'Instructions' tab.</v>
      </c>
      <c r="J4" s="1834"/>
      <c r="K4" s="1834"/>
      <c r="L4" s="1834"/>
      <c r="M4" s="1834"/>
      <c r="N4" s="1834"/>
      <c r="O4" s="1176"/>
      <c r="P4" s="15"/>
      <c r="Q4" s="15"/>
      <c r="R4" s="15"/>
      <c r="T4" s="171"/>
      <c r="U4" s="171"/>
      <c r="V4" s="171"/>
      <c r="W4" s="171"/>
      <c r="X4" s="171"/>
    </row>
    <row r="5" spans="1:45" ht="7.5" customHeight="1">
      <c r="A5" s="7"/>
      <c r="B5" s="7"/>
      <c r="C5" s="15"/>
      <c r="D5" s="15"/>
      <c r="E5" s="15"/>
      <c r="H5" s="15"/>
      <c r="I5" s="15"/>
      <c r="J5" s="15"/>
      <c r="K5" s="179"/>
      <c r="L5" s="179"/>
      <c r="M5" s="179"/>
      <c r="N5" s="15"/>
      <c r="P5" s="15"/>
      <c r="Q5" s="7"/>
      <c r="R5" s="7"/>
      <c r="T5" s="7"/>
      <c r="U5" s="7"/>
      <c r="V5" s="7"/>
      <c r="Y5" s="7"/>
      <c r="Z5" s="7"/>
      <c r="AA5" s="7"/>
      <c r="AB5" s="7"/>
      <c r="AC5" s="7"/>
      <c r="AD5" s="7"/>
      <c r="AE5" s="7"/>
      <c r="AF5" s="7"/>
      <c r="AG5" s="7"/>
      <c r="AH5" s="7"/>
      <c r="AI5" s="7"/>
      <c r="AJ5" s="7"/>
      <c r="AK5" s="7"/>
      <c r="AL5" s="7"/>
      <c r="AM5" s="7"/>
      <c r="AN5" s="7"/>
      <c r="AO5" s="7"/>
      <c r="AP5" s="7"/>
      <c r="AQ5" s="7"/>
      <c r="AR5" s="7"/>
      <c r="AS5" s="7"/>
    </row>
    <row r="6" spans="1:45" ht="30.75" customHeight="1">
      <c r="A6" s="7"/>
      <c r="C6" s="1171"/>
      <c r="D6" s="1171"/>
      <c r="E6" s="1171"/>
      <c r="F6" s="1171"/>
      <c r="G6" s="1171"/>
      <c r="H6" s="1171"/>
      <c r="I6" s="1171"/>
      <c r="J6" s="1171"/>
      <c r="K6" s="1171"/>
      <c r="L6" s="1171"/>
      <c r="M6" s="15"/>
      <c r="N6" s="15"/>
      <c r="P6" s="15"/>
      <c r="Q6" s="7"/>
      <c r="R6" s="7"/>
      <c r="U6" s="7"/>
      <c r="V6" s="7"/>
      <c r="Y6" s="7"/>
      <c r="Z6" s="7"/>
      <c r="AA6" s="7"/>
      <c r="AB6" s="7"/>
      <c r="AC6" s="7"/>
      <c r="AD6" s="7"/>
      <c r="AE6" s="7"/>
      <c r="AF6" s="7"/>
      <c r="AG6" s="7"/>
      <c r="AH6" s="7"/>
      <c r="AI6" s="7"/>
      <c r="AJ6" s="7"/>
      <c r="AK6" s="7"/>
      <c r="AL6" s="7"/>
      <c r="AM6" s="7"/>
      <c r="AN6" s="7"/>
      <c r="AO6" s="7"/>
      <c r="AP6" s="7"/>
      <c r="AQ6" s="7"/>
      <c r="AR6" s="7"/>
      <c r="AS6" s="7"/>
    </row>
    <row r="7" spans="1:45" ht="7.5" customHeight="1">
      <c r="A7" s="7"/>
      <c r="M7" s="15"/>
      <c r="N7" s="416"/>
      <c r="P7" s="15"/>
      <c r="Q7" s="7"/>
      <c r="R7" s="7"/>
      <c r="U7" s="7"/>
      <c r="V7" s="7"/>
      <c r="Y7" s="7"/>
      <c r="Z7" s="7"/>
      <c r="AA7" s="7"/>
      <c r="AB7" s="7"/>
      <c r="AC7" s="7"/>
      <c r="AD7" s="7"/>
      <c r="AE7" s="7"/>
      <c r="AF7" s="7"/>
      <c r="AG7" s="7"/>
      <c r="AH7" s="7"/>
      <c r="AI7" s="7"/>
      <c r="AJ7" s="7"/>
      <c r="AK7" s="7"/>
      <c r="AL7" s="7"/>
      <c r="AM7" s="7"/>
      <c r="AN7" s="7"/>
      <c r="AO7" s="7"/>
      <c r="AP7" s="7"/>
      <c r="AQ7" s="7"/>
      <c r="AR7" s="7"/>
      <c r="AS7" s="7"/>
    </row>
    <row r="8" spans="1:45" ht="3.75" customHeight="1">
      <c r="A8" s="8"/>
      <c r="B8" s="489"/>
      <c r="C8" s="2"/>
      <c r="E8" s="1838" t="s">
        <v>832</v>
      </c>
      <c r="F8" s="1839"/>
      <c r="G8" s="851"/>
      <c r="H8" s="852"/>
      <c r="I8" s="853"/>
      <c r="J8" s="853"/>
      <c r="K8" s="853"/>
      <c r="L8" s="853"/>
      <c r="M8" s="853"/>
      <c r="N8" s="492"/>
      <c r="P8" s="40"/>
      <c r="Q8" s="7"/>
      <c r="R8" s="7"/>
      <c r="T8" s="122"/>
      <c r="U8" s="7"/>
      <c r="V8" s="7"/>
      <c r="Y8" s="7"/>
      <c r="Z8" s="7"/>
      <c r="AA8" s="7"/>
      <c r="AB8" s="7"/>
      <c r="AC8" s="7"/>
      <c r="AD8" s="7"/>
      <c r="AE8" s="7"/>
      <c r="AF8" s="7"/>
      <c r="AG8" s="7"/>
      <c r="AH8" s="7"/>
      <c r="AI8" s="7"/>
      <c r="AJ8" s="7"/>
      <c r="AK8" s="7"/>
      <c r="AL8" s="7"/>
      <c r="AM8" s="7"/>
      <c r="AN8" s="7"/>
      <c r="AO8" s="7"/>
      <c r="AP8" s="7"/>
      <c r="AQ8" s="7"/>
      <c r="AR8" s="7"/>
      <c r="AS8" s="7"/>
    </row>
    <row r="9" spans="1:45" s="449" customFormat="1" ht="36.75" customHeight="1">
      <c r="A9" s="537"/>
      <c r="B9" s="1824" t="s">
        <v>937</v>
      </c>
      <c r="C9" s="1824"/>
      <c r="D9" s="159" t="s">
        <v>838</v>
      </c>
      <c r="E9" s="1840"/>
      <c r="F9" s="1841"/>
      <c r="G9" s="1302" t="s">
        <v>833</v>
      </c>
      <c r="H9" s="805" t="s">
        <v>852</v>
      </c>
      <c r="I9" s="804" t="s">
        <v>834</v>
      </c>
      <c r="J9" s="804" t="s">
        <v>836</v>
      </c>
      <c r="K9" s="1299" t="s">
        <v>1171</v>
      </c>
      <c r="L9" s="805" t="s">
        <v>853</v>
      </c>
      <c r="M9" s="910" t="s">
        <v>855</v>
      </c>
      <c r="P9" s="603"/>
      <c r="Q9" s="450"/>
      <c r="R9" s="450"/>
      <c r="S9" s="450"/>
      <c r="U9" s="450"/>
      <c r="V9" s="450"/>
      <c r="Y9" s="450"/>
      <c r="Z9" s="450"/>
      <c r="AA9" s="450"/>
      <c r="AB9" s="450"/>
      <c r="AC9" s="450"/>
      <c r="AD9" s="450"/>
      <c r="AE9" s="450"/>
      <c r="AF9" s="450"/>
      <c r="AG9" s="450"/>
      <c r="AH9" s="450"/>
      <c r="AI9" s="450"/>
      <c r="AJ9" s="450"/>
      <c r="AK9" s="450"/>
      <c r="AL9" s="450"/>
      <c r="AM9" s="450"/>
      <c r="AN9" s="450"/>
      <c r="AO9" s="450"/>
      <c r="AP9" s="450"/>
      <c r="AQ9" s="450"/>
      <c r="AR9" s="450"/>
      <c r="AS9" s="450"/>
    </row>
    <row r="10" spans="1:45" ht="3" customHeight="1">
      <c r="A10" s="16"/>
      <c r="B10" s="650"/>
      <c r="C10" s="653"/>
      <c r="D10" s="654"/>
      <c r="E10" s="1840"/>
      <c r="F10" s="1841"/>
      <c r="G10" s="854"/>
      <c r="H10" s="854"/>
      <c r="I10" s="855"/>
      <c r="J10" s="855"/>
      <c r="K10" s="855"/>
      <c r="L10" s="855"/>
      <c r="M10" s="855"/>
      <c r="N10" s="855"/>
      <c r="O10" s="655"/>
      <c r="P10" s="180"/>
      <c r="Q10" s="150"/>
      <c r="R10" s="150"/>
      <c r="S10" s="181"/>
      <c r="T10" s="122">
        <f>'Project Info and Instructions'!G16</f>
        <v>0</v>
      </c>
      <c r="U10" s="7"/>
      <c r="V10" s="7"/>
      <c r="Y10" s="7"/>
      <c r="Z10" s="7"/>
      <c r="AA10" s="7"/>
      <c r="AB10" s="7"/>
      <c r="AC10" s="7"/>
      <c r="AD10" s="7"/>
      <c r="AE10" s="7"/>
      <c r="AF10" s="7"/>
      <c r="AG10" s="7"/>
      <c r="AH10" s="7"/>
      <c r="AI10" s="7"/>
      <c r="AJ10" s="7"/>
      <c r="AK10" s="7"/>
      <c r="AL10" s="7"/>
      <c r="AM10" s="7"/>
      <c r="AN10" s="7"/>
      <c r="AO10" s="7"/>
      <c r="AP10" s="7"/>
      <c r="AQ10" s="7"/>
      <c r="AR10" s="7"/>
      <c r="AS10" s="7"/>
    </row>
    <row r="11" spans="1:45" ht="20.25" customHeight="1">
      <c r="A11" s="13"/>
      <c r="B11" s="618"/>
      <c r="C11" s="618"/>
      <c r="E11" s="201"/>
      <c r="F11" s="652"/>
      <c r="G11" s="619"/>
      <c r="H11" s="619"/>
      <c r="I11" s="182"/>
      <c r="J11" s="182"/>
      <c r="K11" s="182"/>
      <c r="L11" s="182"/>
      <c r="M11" s="182"/>
      <c r="N11" s="134"/>
      <c r="O11" s="655"/>
      <c r="P11" s="49"/>
      <c r="Q11" s="136"/>
      <c r="R11" s="7"/>
      <c r="T11" s="122">
        <f>'Project Info and Instructions'!G18</f>
        <v>0</v>
      </c>
      <c r="U11" s="7"/>
      <c r="V11" s="7"/>
      <c r="Y11" s="7"/>
      <c r="Z11" s="7"/>
      <c r="AA11" s="7"/>
      <c r="AB11" s="7"/>
      <c r="AC11" s="7"/>
      <c r="AD11" s="7"/>
      <c r="AE11" s="7"/>
      <c r="AF11" s="7"/>
      <c r="AG11" s="7"/>
      <c r="AH11" s="7"/>
      <c r="AI11" s="7"/>
      <c r="AJ11" s="7"/>
      <c r="AK11" s="7"/>
      <c r="AL11" s="7"/>
      <c r="AM11" s="7"/>
      <c r="AN11" s="7"/>
      <c r="AO11" s="7"/>
      <c r="AP11" s="7"/>
      <c r="AQ11" s="7"/>
      <c r="AR11" s="7"/>
      <c r="AS11" s="7"/>
    </row>
    <row r="12" spans="1:45" ht="13.5" customHeight="1">
      <c r="A12" s="13"/>
      <c r="B12" s="40"/>
      <c r="E12" s="1796" t="str">
        <f>IF(H12="","Input Total Housing Square Feet:","Total Housing Square Feet:")</f>
        <v>Input Total Housing Square Feet:</v>
      </c>
      <c r="F12" s="1796"/>
      <c r="G12" s="1796"/>
      <c r="H12" s="997"/>
      <c r="I12" s="15"/>
      <c r="J12" s="15"/>
      <c r="K12" s="183"/>
      <c r="L12" s="1900" t="s">
        <v>944</v>
      </c>
      <c r="M12" s="1901"/>
      <c r="N12" s="995">
        <f>'A(1)-Sources Stmt.'!F50</f>
        <v>0</v>
      </c>
      <c r="P12" s="416"/>
      <c r="Q12" s="13"/>
      <c r="R12" s="7"/>
      <c r="S12" s="7"/>
      <c r="T12" s="15" t="str">
        <f>'Project Info and Instructions'!$F$22</f>
        <v>Select 'Yes' or 'No'</v>
      </c>
      <c r="U12" s="7"/>
      <c r="V12" s="7"/>
      <c r="W12" s="7"/>
      <c r="X12" s="7"/>
      <c r="Y12" s="90" t="s">
        <v>677</v>
      </c>
      <c r="Z12" s="7">
        <f>COUNTIF('A(3)-Sources and Uses Summary'!J18,$Y$12)</f>
        <v>0</v>
      </c>
      <c r="AA12" s="7"/>
      <c r="AB12" s="7"/>
      <c r="AC12" s="7"/>
      <c r="AD12" s="7"/>
      <c r="AE12" s="7"/>
      <c r="AF12" s="7"/>
      <c r="AG12" s="7"/>
      <c r="AH12" s="7"/>
      <c r="AI12" s="7"/>
      <c r="AJ12" s="7"/>
      <c r="AK12" s="7"/>
      <c r="AL12" s="7"/>
      <c r="AM12" s="7"/>
      <c r="AN12" s="7"/>
      <c r="AO12" s="7"/>
      <c r="AP12" s="7"/>
      <c r="AQ12" s="7"/>
      <c r="AR12" s="7"/>
      <c r="AS12" s="7"/>
    </row>
    <row r="13" spans="1:45" ht="13.5" customHeight="1">
      <c r="A13" s="42"/>
      <c r="C13" s="1796" t="str">
        <f>IF(AND(H13="",T12="Yes",U13&lt;&gt;"Owner-occupied"),"Input Total Commercial Square Feet:",IF(AND(T12="Yes",H13&lt;&gt;""),"Total Commercial Square Feet:",IF(AND(T12="Select 'Yes' or 'No'",U13&lt;&gt;"Owner-occupied"),"Commercial Space Not Indicated on Project Information Tab",IF(U13="Owner-occupied","",""))))</f>
        <v>Commercial Space Not Indicated on Project Information Tab</v>
      </c>
      <c r="D13" s="1796"/>
      <c r="E13" s="1796"/>
      <c r="F13" s="1796"/>
      <c r="G13" s="1796"/>
      <c r="H13" s="998"/>
      <c r="I13" s="15"/>
      <c r="J13" s="15"/>
      <c r="K13" s="15"/>
      <c r="L13" s="1900" t="s">
        <v>945</v>
      </c>
      <c r="M13" s="1901"/>
      <c r="N13" s="996">
        <f>M81</f>
        <v>0</v>
      </c>
      <c r="P13" s="49"/>
      <c r="Q13" s="49"/>
      <c r="R13" s="15"/>
      <c r="S13" s="13"/>
      <c r="U13" s="517" t="str">
        <f>'Project Info and Instructions'!$F$20</f>
        <v>Rental</v>
      </c>
      <c r="V13" s="58"/>
      <c r="W13" s="7">
        <f>IF(U13="Rental",1,IF(U13="Owner-occupied",0,2))</f>
        <v>1</v>
      </c>
      <c r="X13" s="7"/>
      <c r="Y13" s="90" t="s">
        <v>114</v>
      </c>
      <c r="Z13" s="7">
        <f>COUNTIF('A(3)-Sources and Uses Summary'!J16,$Y$12)</f>
        <v>0</v>
      </c>
      <c r="AK13" s="7"/>
      <c r="AL13" s="7"/>
      <c r="AM13" s="7"/>
      <c r="AN13" s="7"/>
      <c r="AO13" s="7"/>
      <c r="AP13" s="7"/>
      <c r="AQ13" s="7"/>
      <c r="AR13" s="7"/>
      <c r="AS13" s="7"/>
    </row>
    <row r="14" spans="1:45" ht="13.5" customHeight="1">
      <c r="A14" s="42"/>
      <c r="B14" s="40"/>
      <c r="E14" s="1863" t="str">
        <f>IF(C13&lt;&gt;"","Total Project Square Feet","")</f>
        <v>Total Project Square Feet</v>
      </c>
      <c r="F14" s="1863"/>
      <c r="G14" s="1863"/>
      <c r="H14" s="1195">
        <f>H12+H13</f>
        <v>0</v>
      </c>
      <c r="I14" s="15"/>
      <c r="J14" s="15"/>
      <c r="K14" s="15"/>
      <c r="L14" s="1902" t="str">
        <f>IF(N12&lt;&gt;N13,"Sources Does Not Equal Uses","")</f>
        <v/>
      </c>
      <c r="M14" s="1902"/>
      <c r="N14" s="1902"/>
      <c r="P14" s="49"/>
      <c r="Q14" s="49"/>
      <c r="R14" s="15"/>
      <c r="S14" s="13"/>
      <c r="U14" s="7"/>
      <c r="V14" s="7"/>
      <c r="W14" s="7"/>
      <c r="X14" s="7"/>
      <c r="Y14" s="90" t="s">
        <v>115</v>
      </c>
      <c r="Z14" s="17">
        <f>COUNTIF('A(3)-Sources and Uses Summary'!J20,$Y$12)</f>
        <v>0</v>
      </c>
      <c r="AA14" s="7"/>
      <c r="AB14" s="7"/>
      <c r="AC14" s="7"/>
      <c r="AD14" s="7"/>
    </row>
    <row r="15" spans="1:45" ht="6" customHeight="1">
      <c r="A15" s="42"/>
      <c r="B15" s="18"/>
      <c r="F15" s="111"/>
      <c r="G15" s="111"/>
      <c r="H15" s="111"/>
      <c r="I15" s="15"/>
      <c r="J15" s="15"/>
      <c r="K15" s="15"/>
      <c r="L15" s="15"/>
      <c r="M15" s="15"/>
      <c r="N15" s="15"/>
      <c r="P15" s="49"/>
      <c r="Q15" s="49"/>
      <c r="R15" s="15"/>
      <c r="U15" s="7"/>
      <c r="V15" s="7"/>
      <c r="W15" s="7"/>
      <c r="X15" s="7"/>
      <c r="Y15" s="7"/>
      <c r="Z15" s="17">
        <f>COUNTIF('A(3)-Sources and Uses Summary'!J14,$Y$12)</f>
        <v>0</v>
      </c>
      <c r="AA15" s="7"/>
      <c r="AB15" s="7"/>
      <c r="AC15" s="7"/>
      <c r="AD15" s="7"/>
    </row>
    <row r="16" spans="1:45" ht="6" customHeight="1">
      <c r="A16" s="184"/>
      <c r="B16" s="184"/>
      <c r="C16" s="485"/>
      <c r="D16" s="485"/>
      <c r="E16" s="485"/>
      <c r="F16" s="485"/>
      <c r="G16" s="485"/>
      <c r="H16" s="485"/>
      <c r="I16" s="485"/>
      <c r="J16" s="485"/>
      <c r="K16" s="485"/>
      <c r="L16" s="485"/>
      <c r="M16" s="485"/>
      <c r="N16" s="485"/>
      <c r="P16" s="49"/>
      <c r="Q16" s="49"/>
      <c r="R16" s="15"/>
      <c r="U16" s="7"/>
      <c r="V16" s="7"/>
      <c r="AA16" s="7"/>
      <c r="AB16" s="7"/>
      <c r="AC16" s="7"/>
      <c r="AD16" s="7"/>
    </row>
    <row r="17" spans="1:30" ht="15">
      <c r="A17" s="73"/>
      <c r="B17" s="73"/>
      <c r="C17" s="73"/>
      <c r="D17" s="73"/>
      <c r="E17" s="73"/>
      <c r="G17" s="1871" t="s">
        <v>794</v>
      </c>
      <c r="H17" s="1869"/>
      <c r="I17" s="1869" t="s">
        <v>795</v>
      </c>
      <c r="J17" s="1869"/>
      <c r="K17" s="1869" t="s">
        <v>33</v>
      </c>
      <c r="L17" s="1869"/>
      <c r="M17" s="1869" t="s">
        <v>796</v>
      </c>
      <c r="N17" s="1872"/>
      <c r="P17" s="45"/>
      <c r="Q17" s="45"/>
      <c r="R17" s="19"/>
      <c r="S17" s="7"/>
      <c r="T17" s="7"/>
      <c r="U17" s="7"/>
      <c r="V17" s="7"/>
      <c r="W17" s="7"/>
      <c r="X17" s="7"/>
      <c r="Y17" s="7"/>
      <c r="AA17" s="7"/>
      <c r="AB17" s="7"/>
      <c r="AC17" s="7"/>
      <c r="AD17" s="7"/>
    </row>
    <row r="18" spans="1:30" s="76" customFormat="1" ht="16.5" customHeight="1" thickBot="1">
      <c r="A18" s="77"/>
      <c r="B18" s="1859" t="s">
        <v>874</v>
      </c>
      <c r="C18" s="1859"/>
      <c r="D18" s="1859"/>
      <c r="E18" s="1859"/>
      <c r="G18" s="92"/>
      <c r="H18" s="92"/>
      <c r="I18" s="92"/>
      <c r="J18" s="92"/>
      <c r="K18" s="92"/>
      <c r="L18" s="92"/>
      <c r="M18" s="92"/>
      <c r="N18" s="92"/>
      <c r="O18"/>
      <c r="P18" s="45"/>
      <c r="Q18" s="45"/>
      <c r="R18" s="19"/>
      <c r="S18" s="17"/>
      <c r="T18" s="17"/>
      <c r="U18" s="17"/>
      <c r="V18" s="17"/>
      <c r="W18" s="17"/>
      <c r="X18" s="17"/>
      <c r="Y18" s="17"/>
      <c r="AA18" s="17"/>
      <c r="AB18" s="17"/>
      <c r="AC18" s="17"/>
      <c r="AD18" s="17"/>
    </row>
    <row r="19" spans="1:30" s="41" customFormat="1" ht="13.5" customHeight="1" thickTop="1">
      <c r="A19" s="88"/>
      <c r="B19" s="168"/>
      <c r="C19" s="1858" t="s">
        <v>731</v>
      </c>
      <c r="D19" s="1858"/>
      <c r="E19" s="1858"/>
      <c r="G19" s="1867"/>
      <c r="H19" s="1870"/>
      <c r="I19" s="1868"/>
      <c r="J19" s="1868"/>
      <c r="K19" s="1873"/>
      <c r="L19" s="1874"/>
      <c r="M19" s="1852">
        <f>ROUND(SUM(G19:L19),0)</f>
        <v>0</v>
      </c>
      <c r="N19" s="1853"/>
      <c r="O19"/>
      <c r="P19" s="45"/>
      <c r="Q19" s="45"/>
      <c r="R19" s="19"/>
      <c r="S19" s="19"/>
      <c r="T19" s="19"/>
      <c r="U19" s="19"/>
      <c r="V19" s="19"/>
      <c r="W19" s="19"/>
      <c r="X19" s="19"/>
      <c r="Y19" s="19"/>
      <c r="Z19" s="19">
        <f>COUNTA(C22:E28,C47:E53,G19:L28,G32:L38,G42:L49,C70:E76,G57:L76)</f>
        <v>0</v>
      </c>
      <c r="AA19" s="19"/>
      <c r="AB19" s="19"/>
      <c r="AC19" s="19"/>
      <c r="AD19" s="19"/>
    </row>
    <row r="20" spans="1:30" s="41" customFormat="1" ht="13.5" customHeight="1">
      <c r="A20" s="88"/>
      <c r="B20" s="168"/>
      <c r="C20" s="1858" t="s">
        <v>58</v>
      </c>
      <c r="D20" s="1858"/>
      <c r="E20" s="1858"/>
      <c r="G20" s="1851"/>
      <c r="H20" s="1848"/>
      <c r="I20" s="1846"/>
      <c r="J20" s="1846"/>
      <c r="K20" s="1845"/>
      <c r="L20" s="1847"/>
      <c r="M20" s="1842">
        <f t="shared" ref="M20:M27" si="0">ROUND(SUM(G20:L20),0)</f>
        <v>0</v>
      </c>
      <c r="N20" s="1843"/>
      <c r="O20"/>
      <c r="P20" s="45"/>
      <c r="Q20" s="45"/>
      <c r="R20" s="19"/>
      <c r="S20" s="18"/>
      <c r="T20" s="19"/>
      <c r="U20" s="19"/>
      <c r="V20" s="19"/>
      <c r="W20" s="19"/>
      <c r="X20" s="19" t="s">
        <v>854</v>
      </c>
      <c r="Y20" s="19"/>
      <c r="Z20" s="19"/>
      <c r="AA20" s="19"/>
      <c r="AB20" s="19"/>
      <c r="AC20" s="19"/>
      <c r="AD20" s="19"/>
    </row>
    <row r="21" spans="1:30" s="41" customFormat="1" ht="13.5" customHeight="1">
      <c r="A21" s="88"/>
      <c r="B21" s="168"/>
      <c r="C21" s="1858" t="s">
        <v>733</v>
      </c>
      <c r="D21" s="1858"/>
      <c r="E21" s="1858"/>
      <c r="G21" s="1851"/>
      <c r="H21" s="1848"/>
      <c r="I21" s="1846"/>
      <c r="J21" s="1846"/>
      <c r="K21" s="1845"/>
      <c r="L21" s="1847"/>
      <c r="M21" s="1842">
        <f t="shared" si="0"/>
        <v>0</v>
      </c>
      <c r="N21" s="1843"/>
      <c r="O21"/>
      <c r="P21" s="45"/>
      <c r="Q21" s="45"/>
      <c r="S21" s="185"/>
      <c r="T21" s="186"/>
      <c r="W21" s="19"/>
      <c r="X21" s="26">
        <f t="shared" ref="X21:X27" si="1">IF(AND(C22&lt;&gt;"",M22=0),1,0)</f>
        <v>0</v>
      </c>
      <c r="Y21" s="26">
        <f t="shared" ref="Y21:Y27" si="2">IF(AND(C22="",M22&gt;0),1,0)</f>
        <v>0</v>
      </c>
      <c r="Z21" s="41">
        <f>COUNTIF(X21:X27,"&gt;0")</f>
        <v>0</v>
      </c>
      <c r="AA21" s="41">
        <f>COUNTIF(Y21:Y27,"&gt;0")</f>
        <v>0</v>
      </c>
      <c r="AB21" s="19"/>
      <c r="AC21" s="19"/>
      <c r="AD21" s="19"/>
    </row>
    <row r="22" spans="1:30" s="41" customFormat="1" ht="13.5" customHeight="1">
      <c r="A22" s="1895" t="s">
        <v>814</v>
      </c>
      <c r="B22" s="1895"/>
      <c r="C22" s="1855"/>
      <c r="D22" s="1856"/>
      <c r="E22" s="1857"/>
      <c r="G22" s="1851"/>
      <c r="H22" s="1848"/>
      <c r="I22" s="1848"/>
      <c r="J22" s="1845"/>
      <c r="K22" s="1848"/>
      <c r="L22" s="1849"/>
      <c r="M22" s="1842">
        <f t="shared" si="0"/>
        <v>0</v>
      </c>
      <c r="N22" s="1843"/>
      <c r="O22"/>
      <c r="P22" s="45"/>
      <c r="Q22" s="45"/>
      <c r="R22" s="41">
        <f>IF(C22="",1,0)</f>
        <v>1</v>
      </c>
      <c r="S22" s="185"/>
      <c r="T22" s="186"/>
      <c r="W22" s="19"/>
      <c r="X22" s="26">
        <f t="shared" si="1"/>
        <v>0</v>
      </c>
      <c r="Y22" s="26">
        <f t="shared" si="2"/>
        <v>0</v>
      </c>
      <c r="Z22" s="41">
        <f>COUNTIF(X36:X42,"&gt;0")</f>
        <v>0</v>
      </c>
      <c r="AA22" s="41">
        <f>COUNTIF(Y36:Y42,"&gt;0")</f>
        <v>0</v>
      </c>
      <c r="AB22" s="19"/>
      <c r="AC22" s="19"/>
      <c r="AD22" s="19"/>
    </row>
    <row r="23" spans="1:30" s="41" customFormat="1" ht="13.5" customHeight="1">
      <c r="A23" s="88"/>
      <c r="B23" s="597"/>
      <c r="C23" s="1835"/>
      <c r="D23" s="1836"/>
      <c r="E23" s="1837"/>
      <c r="G23" s="1844"/>
      <c r="H23" s="1845"/>
      <c r="I23" s="1848"/>
      <c r="J23" s="1845"/>
      <c r="K23" s="1848"/>
      <c r="L23" s="1849"/>
      <c r="M23" s="1842">
        <f t="shared" si="0"/>
        <v>0</v>
      </c>
      <c r="N23" s="1843"/>
      <c r="O23"/>
      <c r="P23" s="45"/>
      <c r="Q23" s="45"/>
      <c r="R23" s="41">
        <f t="shared" ref="R23:R28" si="3">IF(C23="",1,0)</f>
        <v>1</v>
      </c>
      <c r="S23" s="185"/>
      <c r="T23" s="186"/>
      <c r="V23" s="189">
        <f>IF(M81='A(1)-Sources Stmt.'!F50,1,0)</f>
        <v>1</v>
      </c>
      <c r="W23" s="19"/>
      <c r="X23" s="26">
        <f t="shared" si="1"/>
        <v>0</v>
      </c>
      <c r="Y23" s="26">
        <f t="shared" si="2"/>
        <v>0</v>
      </c>
      <c r="Z23" s="41">
        <f>COUNTIF(X45:X51,"&gt;0")</f>
        <v>0</v>
      </c>
      <c r="AA23" s="41">
        <f>COUNTIF(Y45:Y51,"&gt;0")</f>
        <v>0</v>
      </c>
      <c r="AB23" s="19"/>
      <c r="AC23" s="19"/>
      <c r="AD23" s="19"/>
    </row>
    <row r="24" spans="1:30" s="41" customFormat="1" ht="13.5" customHeight="1">
      <c r="A24" s="88"/>
      <c r="B24" s="597"/>
      <c r="C24" s="1835"/>
      <c r="D24" s="1836"/>
      <c r="E24" s="1837"/>
      <c r="G24" s="1844"/>
      <c r="H24" s="1845"/>
      <c r="I24" s="1848"/>
      <c r="J24" s="1845"/>
      <c r="K24" s="1848"/>
      <c r="L24" s="1849"/>
      <c r="M24" s="1842">
        <f t="shared" si="0"/>
        <v>0</v>
      </c>
      <c r="N24" s="1843"/>
      <c r="O24"/>
      <c r="P24" s="45"/>
      <c r="Q24" s="45"/>
      <c r="R24" s="41">
        <f t="shared" si="3"/>
        <v>1</v>
      </c>
      <c r="S24" s="84"/>
      <c r="T24" s="187"/>
      <c r="U24" s="188"/>
      <c r="W24" s="19"/>
      <c r="X24" s="26">
        <f t="shared" si="1"/>
        <v>0</v>
      </c>
      <c r="Y24" s="26">
        <f t="shared" si="2"/>
        <v>0</v>
      </c>
      <c r="Z24" s="19"/>
      <c r="AA24" s="19"/>
      <c r="AB24" s="19"/>
      <c r="AC24" s="19"/>
      <c r="AD24" s="19"/>
    </row>
    <row r="25" spans="1:30" s="41" customFormat="1" ht="13.5" customHeight="1">
      <c r="A25" s="88"/>
      <c r="B25" s="597"/>
      <c r="C25" s="1835"/>
      <c r="D25" s="1836"/>
      <c r="E25" s="1837"/>
      <c r="G25" s="1844"/>
      <c r="H25" s="1845"/>
      <c r="I25" s="1848"/>
      <c r="J25" s="1845"/>
      <c r="K25" s="1848"/>
      <c r="L25" s="1849"/>
      <c r="M25" s="1842">
        <f t="shared" si="0"/>
        <v>0</v>
      </c>
      <c r="N25" s="1843"/>
      <c r="O25"/>
      <c r="P25" s="45"/>
      <c r="Q25" s="45"/>
      <c r="R25" s="41">
        <f t="shared" si="3"/>
        <v>1</v>
      </c>
      <c r="S25" s="84"/>
      <c r="T25" s="187"/>
      <c r="U25" s="188"/>
      <c r="W25" s="19"/>
      <c r="X25" s="26">
        <f t="shared" si="1"/>
        <v>0</v>
      </c>
      <c r="Y25" s="26">
        <f t="shared" si="2"/>
        <v>0</v>
      </c>
      <c r="Z25" s="19"/>
      <c r="AA25" s="19"/>
      <c r="AB25" s="19"/>
      <c r="AC25" s="19"/>
      <c r="AD25" s="19"/>
    </row>
    <row r="26" spans="1:30" s="41" customFormat="1" ht="13.5" customHeight="1">
      <c r="A26" s="88"/>
      <c r="B26" s="597"/>
      <c r="C26" s="1835"/>
      <c r="D26" s="1836"/>
      <c r="E26" s="1837"/>
      <c r="G26" s="1844"/>
      <c r="H26" s="1845"/>
      <c r="I26" s="1848"/>
      <c r="J26" s="1845"/>
      <c r="K26" s="1848"/>
      <c r="L26" s="1849"/>
      <c r="M26" s="1842">
        <f t="shared" si="0"/>
        <v>0</v>
      </c>
      <c r="N26" s="1843"/>
      <c r="O26"/>
      <c r="P26" s="45"/>
      <c r="Q26" s="45"/>
      <c r="R26" s="41">
        <f t="shared" si="3"/>
        <v>1</v>
      </c>
      <c r="S26" s="84"/>
      <c r="T26" s="187"/>
      <c r="U26" s="188"/>
      <c r="W26" s="19"/>
      <c r="X26" s="26">
        <f t="shared" si="1"/>
        <v>0</v>
      </c>
      <c r="Y26" s="26">
        <f t="shared" si="2"/>
        <v>0</v>
      </c>
      <c r="Z26" s="19"/>
      <c r="AA26" s="19"/>
      <c r="AB26" s="19"/>
      <c r="AC26" s="19"/>
      <c r="AD26" s="19"/>
    </row>
    <row r="27" spans="1:30" s="41" customFormat="1" ht="13.5" customHeight="1">
      <c r="A27" s="88"/>
      <c r="B27" s="597"/>
      <c r="C27" s="1835"/>
      <c r="D27" s="1836"/>
      <c r="E27" s="1837"/>
      <c r="G27" s="1844"/>
      <c r="H27" s="1845"/>
      <c r="I27" s="1848"/>
      <c r="J27" s="1845"/>
      <c r="K27" s="1848"/>
      <c r="L27" s="1849"/>
      <c r="M27" s="1842">
        <f t="shared" si="0"/>
        <v>0</v>
      </c>
      <c r="N27" s="1843"/>
      <c r="O27"/>
      <c r="P27" s="45"/>
      <c r="Q27" s="45"/>
      <c r="R27" s="41">
        <f t="shared" si="3"/>
        <v>1</v>
      </c>
      <c r="S27" s="84"/>
      <c r="T27" s="187"/>
      <c r="U27" s="188"/>
      <c r="W27" s="19"/>
      <c r="X27" s="26">
        <f t="shared" si="1"/>
        <v>0</v>
      </c>
      <c r="Y27" s="26">
        <f t="shared" si="2"/>
        <v>0</v>
      </c>
      <c r="Z27" s="19"/>
      <c r="AA27" s="19"/>
      <c r="AB27" s="19"/>
      <c r="AC27" s="19"/>
      <c r="AD27" s="19"/>
    </row>
    <row r="28" spans="1:30" s="41" customFormat="1" ht="13.5" customHeight="1" thickBot="1">
      <c r="A28" s="88"/>
      <c r="B28" s="597"/>
      <c r="C28" s="1860"/>
      <c r="D28" s="1861"/>
      <c r="E28" s="1862"/>
      <c r="G28" s="1844"/>
      <c r="H28" s="1845"/>
      <c r="I28" s="1848"/>
      <c r="J28" s="1845"/>
      <c r="K28" s="1848"/>
      <c r="L28" s="1849"/>
      <c r="M28" s="1842">
        <f>ROUND(SUM(G28:L28),0)</f>
        <v>0</v>
      </c>
      <c r="N28" s="1843"/>
      <c r="O28"/>
      <c r="P28" s="45"/>
      <c r="Q28" s="45"/>
      <c r="R28" s="41">
        <f t="shared" si="3"/>
        <v>1</v>
      </c>
      <c r="S28" s="84"/>
      <c r="T28" s="187"/>
      <c r="U28" s="188"/>
      <c r="W28" s="19"/>
      <c r="X28" s="26"/>
      <c r="Y28" s="26"/>
      <c r="Z28" s="19"/>
      <c r="AA28" s="19"/>
      <c r="AB28" s="19"/>
      <c r="AC28" s="19"/>
      <c r="AD28" s="19"/>
    </row>
    <row r="29" spans="1:30" s="41" customFormat="1" ht="13.5" customHeight="1" thickTop="1" thickBot="1">
      <c r="A29" s="190"/>
      <c r="B29" s="598"/>
      <c r="C29" s="1863" t="s">
        <v>751</v>
      </c>
      <c r="D29" s="1863"/>
      <c r="E29" s="1863"/>
      <c r="G29" s="1864">
        <f>ROUND(SUM(G19:H28),0)</f>
        <v>0</v>
      </c>
      <c r="H29" s="1850"/>
      <c r="I29" s="1850">
        <f>ROUND(SUM(I19:J28),0)</f>
        <v>0</v>
      </c>
      <c r="J29" s="1850"/>
      <c r="K29" s="1850">
        <f>ROUND(SUM(K19:L28),0)</f>
        <v>0</v>
      </c>
      <c r="L29" s="1850"/>
      <c r="M29" s="1875">
        <f>SUM(M19:N28)</f>
        <v>0</v>
      </c>
      <c r="N29" s="1876"/>
      <c r="O29"/>
      <c r="P29" s="45"/>
      <c r="Q29" s="45"/>
      <c r="R29" s="76"/>
      <c r="W29" s="19"/>
      <c r="X29" s="26"/>
      <c r="Y29" s="26"/>
      <c r="Z29" s="19"/>
      <c r="AA29" s="19"/>
      <c r="AB29" s="19"/>
      <c r="AC29" s="19"/>
      <c r="AD29" s="19"/>
    </row>
    <row r="30" spans="1:30" s="41" customFormat="1" ht="15" customHeight="1" thickTop="1">
      <c r="A30" s="49"/>
      <c r="B30" s="15"/>
      <c r="C30" s="15"/>
      <c r="D30" s="15"/>
      <c r="E30" s="15"/>
      <c r="F30" s="15"/>
      <c r="G30" s="91"/>
      <c r="H30" s="91"/>
      <c r="I30" s="91"/>
      <c r="J30" s="91"/>
      <c r="K30" s="91"/>
      <c r="L30" s="91"/>
      <c r="M30" s="91"/>
      <c r="N30" s="91"/>
      <c r="O30"/>
      <c r="P30" s="45"/>
      <c r="Q30" s="45"/>
      <c r="R30" s="19"/>
      <c r="S30" s="19"/>
      <c r="T30" s="19"/>
      <c r="U30" s="19"/>
      <c r="V30" s="19"/>
      <c r="W30" s="19"/>
      <c r="X30" s="26"/>
      <c r="Y30" s="26"/>
      <c r="Z30" s="19"/>
      <c r="AA30" s="19"/>
      <c r="AB30" s="19"/>
      <c r="AC30" s="19"/>
      <c r="AD30" s="19"/>
    </row>
    <row r="31" spans="1:30" s="41" customFormat="1" ht="15" customHeight="1" thickBot="1">
      <c r="A31" s="88"/>
      <c r="B31" s="1859" t="s">
        <v>875</v>
      </c>
      <c r="C31" s="1859"/>
      <c r="D31" s="1859"/>
      <c r="E31" s="1859"/>
      <c r="F31" s="76"/>
      <c r="G31" s="191"/>
      <c r="H31" s="191"/>
      <c r="I31" s="191"/>
      <c r="J31" s="191"/>
      <c r="K31" s="191"/>
      <c r="L31" s="191"/>
      <c r="M31" s="191"/>
      <c r="N31" s="192"/>
      <c r="O31"/>
      <c r="P31" s="45"/>
      <c r="Q31" s="45"/>
      <c r="R31" s="19"/>
      <c r="T31" s="19"/>
      <c r="U31" s="19"/>
      <c r="V31" s="19"/>
      <c r="W31" s="19"/>
      <c r="X31" s="26"/>
      <c r="Y31" s="26"/>
      <c r="Z31" s="19"/>
      <c r="AA31" s="19"/>
      <c r="AB31" s="19"/>
      <c r="AC31" s="19"/>
      <c r="AD31" s="19"/>
    </row>
    <row r="32" spans="1:30" s="41" customFormat="1" ht="13.5" customHeight="1" thickTop="1">
      <c r="A32" s="88"/>
      <c r="C32" s="1858" t="s">
        <v>725</v>
      </c>
      <c r="D32" s="1858"/>
      <c r="E32" s="1858"/>
      <c r="F32" s="1060"/>
      <c r="G32" s="1867"/>
      <c r="H32" s="1868"/>
      <c r="I32" s="1868"/>
      <c r="J32" s="1868"/>
      <c r="K32" s="1868"/>
      <c r="L32" s="1874"/>
      <c r="M32" s="1852">
        <f>ROUND(SUM(G32:L32),0)</f>
        <v>0</v>
      </c>
      <c r="N32" s="1853"/>
      <c r="O32"/>
      <c r="P32" s="45"/>
      <c r="Q32" s="45"/>
      <c r="R32" s="19"/>
      <c r="S32" s="18" t="s">
        <v>815</v>
      </c>
      <c r="T32" s="17">
        <f>COUNTA(H12)</f>
        <v>0</v>
      </c>
      <c r="U32" s="19"/>
      <c r="V32" s="19"/>
      <c r="W32" s="19"/>
      <c r="X32" s="26"/>
      <c r="Y32" s="26"/>
      <c r="Z32" s="19"/>
      <c r="AA32" s="19"/>
      <c r="AB32" s="19"/>
      <c r="AC32" s="19"/>
      <c r="AD32" s="19"/>
    </row>
    <row r="33" spans="1:30" s="41" customFormat="1" ht="13.5" customHeight="1">
      <c r="A33" s="88"/>
      <c r="C33" s="1858" t="s">
        <v>726</v>
      </c>
      <c r="D33" s="1858"/>
      <c r="E33" s="1858"/>
      <c r="F33" s="1060"/>
      <c r="G33" s="1851"/>
      <c r="H33" s="1846"/>
      <c r="I33" s="1846"/>
      <c r="J33" s="1846"/>
      <c r="K33" s="1846"/>
      <c r="L33" s="1847"/>
      <c r="M33" s="1842">
        <f t="shared" ref="M33:M38" si="4">ROUND(SUM(G33:L33),0)</f>
        <v>0</v>
      </c>
      <c r="N33" s="1843"/>
      <c r="O33"/>
      <c r="P33" s="45"/>
      <c r="Q33" s="45"/>
      <c r="R33" s="19"/>
      <c r="S33" s="19"/>
      <c r="T33" s="17">
        <f>COUNTA(H13)</f>
        <v>0</v>
      </c>
      <c r="U33" s="19"/>
      <c r="V33" s="19"/>
      <c r="W33" s="19"/>
      <c r="X33" s="19"/>
      <c r="Y33" s="19"/>
      <c r="Z33" s="19"/>
      <c r="AA33" s="19"/>
      <c r="AB33" s="19"/>
      <c r="AC33" s="19"/>
      <c r="AD33" s="19"/>
    </row>
    <row r="34" spans="1:30" s="41" customFormat="1" ht="13.5" customHeight="1">
      <c r="A34" s="88"/>
      <c r="C34" s="1858" t="s">
        <v>719</v>
      </c>
      <c r="D34" s="1858"/>
      <c r="E34" s="1858"/>
      <c r="F34" s="1060"/>
      <c r="G34" s="1851"/>
      <c r="H34" s="1846"/>
      <c r="I34" s="1846"/>
      <c r="J34" s="1846"/>
      <c r="K34" s="1846"/>
      <c r="L34" s="1847"/>
      <c r="M34" s="1842">
        <f t="shared" si="4"/>
        <v>0</v>
      </c>
      <c r="N34" s="1843"/>
      <c r="O34"/>
      <c r="P34" s="45"/>
      <c r="Q34" s="45"/>
      <c r="R34" s="19"/>
      <c r="S34" s="19"/>
      <c r="T34" s="189">
        <f>SUM(T32:T33)</f>
        <v>0</v>
      </c>
      <c r="U34" s="19"/>
      <c r="V34" s="19"/>
      <c r="W34" s="19"/>
      <c r="X34" s="19"/>
      <c r="Y34" s="19"/>
      <c r="Z34" s="19"/>
      <c r="AA34" s="19"/>
      <c r="AB34" s="19"/>
      <c r="AC34" s="19"/>
      <c r="AD34" s="19"/>
    </row>
    <row r="35" spans="1:30" s="76" customFormat="1" ht="13.5" customHeight="1">
      <c r="A35" s="88"/>
      <c r="B35" s="41"/>
      <c r="C35" s="1858" t="s">
        <v>734</v>
      </c>
      <c r="D35" s="1858"/>
      <c r="E35" s="1858"/>
      <c r="F35" s="1060"/>
      <c r="G35" s="1851"/>
      <c r="H35" s="1846"/>
      <c r="I35" s="1846"/>
      <c r="J35" s="1846"/>
      <c r="K35" s="1846"/>
      <c r="L35" s="1847"/>
      <c r="M35" s="1842">
        <f t="shared" si="4"/>
        <v>0</v>
      </c>
      <c r="N35" s="1843"/>
      <c r="O35"/>
      <c r="P35" s="77"/>
      <c r="Q35" s="77"/>
      <c r="R35" s="77"/>
    </row>
    <row r="36" spans="1:30" s="41" customFormat="1" ht="13.5" customHeight="1">
      <c r="A36" s="88"/>
      <c r="C36" s="1858" t="s">
        <v>735</v>
      </c>
      <c r="D36" s="1858"/>
      <c r="E36" s="1858"/>
      <c r="F36" s="1060"/>
      <c r="G36" s="1851"/>
      <c r="H36" s="1846"/>
      <c r="I36" s="1846"/>
      <c r="J36" s="1846"/>
      <c r="K36" s="1846"/>
      <c r="L36" s="1847"/>
      <c r="M36" s="1842">
        <f t="shared" si="4"/>
        <v>0</v>
      </c>
      <c r="N36" s="1843"/>
      <c r="O36"/>
      <c r="P36" s="45"/>
      <c r="Q36" s="45"/>
      <c r="S36" s="185" t="s">
        <v>866</v>
      </c>
      <c r="T36" s="193" t="str">
        <f>IF(AND(H13&gt;0,I81=0),"Uses Statement - If commercial square feet is greater than 0 then commercial uses must be greater than $0."," ")</f>
        <v xml:space="preserve"> </v>
      </c>
      <c r="W36" s="19"/>
      <c r="X36" s="26">
        <f>IF(AND(C47&lt;&gt;"",M47=0),1,0)</f>
        <v>0</v>
      </c>
      <c r="Y36" s="26">
        <f t="shared" ref="Y36:Y42" si="5">IF(AND(C47="",M47&gt;0),1,0)</f>
        <v>0</v>
      </c>
      <c r="Z36" s="19"/>
      <c r="AA36" s="19"/>
      <c r="AB36" s="19"/>
      <c r="AC36" s="19"/>
      <c r="AD36" s="19"/>
    </row>
    <row r="37" spans="1:30" s="41" customFormat="1" ht="13.5" customHeight="1">
      <c r="A37" s="88"/>
      <c r="C37" s="1858" t="s">
        <v>736</v>
      </c>
      <c r="D37" s="1858"/>
      <c r="E37" s="1858"/>
      <c r="F37" s="1060"/>
      <c r="G37" s="1851"/>
      <c r="H37" s="1846"/>
      <c r="I37" s="1846"/>
      <c r="J37" s="1846"/>
      <c r="K37" s="1846"/>
      <c r="L37" s="1847"/>
      <c r="M37" s="1842">
        <f t="shared" si="4"/>
        <v>0</v>
      </c>
      <c r="N37" s="1843"/>
      <c r="O37"/>
      <c r="P37" s="45"/>
      <c r="Q37" s="45"/>
      <c r="R37" s="41">
        <f>'A(1)-Sources Stmt.'!$Y$9</f>
        <v>0</v>
      </c>
      <c r="S37" s="185" t="s">
        <v>867</v>
      </c>
      <c r="T37" s="193" t="str">
        <f>IF(AND(R37&gt;0,H13&lt;1),"Uses Statement - The Sources Statement indicates funds for commercial space, but  commercial square feet on the Uses Statement have not been provided."," ")</f>
        <v xml:space="preserve"> </v>
      </c>
      <c r="W37" s="19"/>
      <c r="X37" s="26">
        <f t="shared" ref="X37:X42" si="6">IF(AND(C48&lt;&gt;"",M48=0),1,0)</f>
        <v>0</v>
      </c>
      <c r="Y37" s="26">
        <f t="shared" si="5"/>
        <v>0</v>
      </c>
      <c r="Z37" s="19"/>
      <c r="AA37" s="19"/>
      <c r="AB37" s="19"/>
      <c r="AC37" s="19"/>
      <c r="AD37" s="19"/>
    </row>
    <row r="38" spans="1:30" s="41" customFormat="1" ht="13.5" customHeight="1" thickBot="1">
      <c r="A38" s="88"/>
      <c r="C38" s="1858" t="s">
        <v>136</v>
      </c>
      <c r="D38" s="1858"/>
      <c r="E38" s="1858"/>
      <c r="F38" s="1060"/>
      <c r="G38" s="1865"/>
      <c r="H38" s="1866"/>
      <c r="I38" s="1866"/>
      <c r="J38" s="1866"/>
      <c r="K38" s="1866"/>
      <c r="L38" s="1877"/>
      <c r="M38" s="1842">
        <f t="shared" si="4"/>
        <v>0</v>
      </c>
      <c r="N38" s="1843"/>
      <c r="O38"/>
      <c r="P38" s="45"/>
      <c r="Q38" s="45"/>
      <c r="T38" s="41" t="str">
        <f>IF(AND(T12="Yes",H13&lt;1),"Uses Statement - Project includes commercial space, but commercial square feet has not been indicated."," ")</f>
        <v xml:space="preserve"> </v>
      </c>
      <c r="W38" s="19"/>
      <c r="X38" s="26">
        <f t="shared" si="6"/>
        <v>0</v>
      </c>
      <c r="Y38" s="26">
        <f t="shared" si="5"/>
        <v>0</v>
      </c>
      <c r="Z38" s="19"/>
      <c r="AA38" s="19"/>
      <c r="AB38" s="19"/>
      <c r="AC38" s="19"/>
      <c r="AD38" s="19"/>
    </row>
    <row r="39" spans="1:30" s="41" customFormat="1" ht="13.5" customHeight="1" thickTop="1" thickBot="1">
      <c r="A39" s="194"/>
      <c r="B39" s="195"/>
      <c r="C39" s="1863" t="s">
        <v>737</v>
      </c>
      <c r="D39" s="1863"/>
      <c r="E39" s="1863"/>
      <c r="G39" s="1864">
        <f>ROUND(SUM(G32:H38),0)</f>
        <v>0</v>
      </c>
      <c r="H39" s="1850"/>
      <c r="I39" s="1878">
        <f t="shared" ref="I39" si="7">ROUND(SUM(I32:J38),0)</f>
        <v>0</v>
      </c>
      <c r="J39" s="1879"/>
      <c r="K39" s="1878">
        <f t="shared" ref="K39" si="8">ROUND(SUM(K32:L38),0)</f>
        <v>0</v>
      </c>
      <c r="L39" s="1879"/>
      <c r="M39" s="1880">
        <f>SUM(M32:N38)</f>
        <v>0</v>
      </c>
      <c r="N39" s="1881"/>
      <c r="O39"/>
      <c r="P39" s="45"/>
      <c r="Q39" s="45"/>
      <c r="W39" s="19"/>
      <c r="X39" s="26">
        <f t="shared" si="6"/>
        <v>0</v>
      </c>
      <c r="Y39" s="26">
        <f t="shared" si="5"/>
        <v>0</v>
      </c>
      <c r="Z39" s="19"/>
      <c r="AA39" s="19"/>
      <c r="AB39" s="19"/>
      <c r="AC39" s="19"/>
      <c r="AD39" s="19"/>
    </row>
    <row r="40" spans="1:30" s="41" customFormat="1" ht="15" customHeight="1" thickTop="1">
      <c r="A40" s="49"/>
      <c r="B40" s="91"/>
      <c r="C40" s="91"/>
      <c r="D40" s="91"/>
      <c r="E40" s="91"/>
      <c r="F40" s="15"/>
      <c r="G40" s="89"/>
      <c r="H40" s="89"/>
      <c r="I40" s="89"/>
      <c r="J40" s="89"/>
      <c r="K40" s="89"/>
      <c r="L40" s="89"/>
      <c r="M40" s="89"/>
      <c r="N40" s="89"/>
      <c r="O40"/>
      <c r="P40" s="45"/>
      <c r="Q40" s="45"/>
      <c r="R40" s="19"/>
      <c r="S40" s="19"/>
      <c r="T40" s="19"/>
      <c r="U40" s="19"/>
      <c r="V40" s="19"/>
      <c r="W40" s="19"/>
      <c r="X40" s="26">
        <f t="shared" si="6"/>
        <v>0</v>
      </c>
      <c r="Y40" s="26">
        <f t="shared" si="5"/>
        <v>0</v>
      </c>
      <c r="Z40" s="19"/>
      <c r="AA40" s="19"/>
      <c r="AB40" s="19"/>
      <c r="AC40" s="19"/>
      <c r="AD40" s="19"/>
    </row>
    <row r="41" spans="1:30" s="41" customFormat="1" ht="15" customHeight="1" thickBot="1">
      <c r="A41" s="88"/>
      <c r="B41" s="1859" t="s">
        <v>877</v>
      </c>
      <c r="C41" s="1859"/>
      <c r="D41" s="1859"/>
      <c r="E41" s="1859"/>
      <c r="F41" s="76"/>
      <c r="G41" s="196"/>
      <c r="H41" s="196"/>
      <c r="I41" s="196"/>
      <c r="J41" s="196"/>
      <c r="K41" s="196"/>
      <c r="L41" s="196"/>
      <c r="M41" s="196"/>
      <c r="N41" s="197"/>
      <c r="O41"/>
      <c r="P41" s="45"/>
      <c r="Q41" s="45"/>
      <c r="R41" s="19"/>
      <c r="S41" s="19"/>
      <c r="T41" s="19"/>
      <c r="U41" s="19"/>
      <c r="V41" s="19"/>
      <c r="W41" s="19"/>
      <c r="X41" s="26">
        <f t="shared" si="6"/>
        <v>0</v>
      </c>
      <c r="Y41" s="26">
        <f t="shared" si="5"/>
        <v>0</v>
      </c>
      <c r="Z41" s="19"/>
      <c r="AA41" s="19"/>
      <c r="AB41" s="19"/>
      <c r="AC41" s="19"/>
      <c r="AD41" s="19"/>
    </row>
    <row r="42" spans="1:30" s="41" customFormat="1" ht="13.5" customHeight="1" thickTop="1">
      <c r="A42" s="1061"/>
      <c r="B42" s="81"/>
      <c r="C42" s="1858" t="s">
        <v>34</v>
      </c>
      <c r="D42" s="1858"/>
      <c r="E42" s="1858"/>
      <c r="G42" s="1867"/>
      <c r="H42" s="1870"/>
      <c r="I42" s="1868"/>
      <c r="J42" s="1868"/>
      <c r="K42" s="1868"/>
      <c r="L42" s="1874"/>
      <c r="M42" s="1852">
        <f>ROUND(SUM(G42:K42),0)</f>
        <v>0</v>
      </c>
      <c r="N42" s="1853"/>
      <c r="O42"/>
      <c r="P42" s="45"/>
      <c r="Q42" s="45"/>
      <c r="R42" s="19"/>
      <c r="S42" s="19"/>
      <c r="T42" s="19"/>
      <c r="U42" s="19"/>
      <c r="V42" s="19"/>
      <c r="W42" s="19"/>
      <c r="X42" s="26">
        <f t="shared" si="6"/>
        <v>0</v>
      </c>
      <c r="Y42" s="26">
        <f t="shared" si="5"/>
        <v>0</v>
      </c>
      <c r="Z42" s="19"/>
      <c r="AA42" s="19"/>
      <c r="AB42" s="19"/>
      <c r="AC42" s="19"/>
      <c r="AD42" s="19"/>
    </row>
    <row r="43" spans="1:30" s="41" customFormat="1" ht="13.5" customHeight="1">
      <c r="A43" s="1061"/>
      <c r="B43" s="81"/>
      <c r="C43" s="1858" t="s">
        <v>738</v>
      </c>
      <c r="D43" s="1858"/>
      <c r="E43" s="1858"/>
      <c r="G43" s="1851"/>
      <c r="H43" s="1848"/>
      <c r="I43" s="1846"/>
      <c r="J43" s="1846"/>
      <c r="K43" s="1846"/>
      <c r="L43" s="1847"/>
      <c r="M43" s="1842">
        <f t="shared" ref="M43:M53" si="9">ROUND(SUM(G43:K43),0)</f>
        <v>0</v>
      </c>
      <c r="N43" s="1843"/>
      <c r="O43"/>
      <c r="P43" s="45"/>
      <c r="Q43" s="45"/>
      <c r="R43" s="19"/>
      <c r="S43" s="19"/>
      <c r="T43" s="19"/>
      <c r="U43" s="19"/>
      <c r="V43" s="19"/>
      <c r="W43" s="19"/>
      <c r="X43" s="26"/>
      <c r="Y43" s="26"/>
      <c r="Z43" s="19"/>
      <c r="AA43" s="19"/>
      <c r="AB43" s="19"/>
      <c r="AC43" s="19"/>
      <c r="AD43" s="19"/>
    </row>
    <row r="44" spans="1:30" s="41" customFormat="1" ht="13.5" customHeight="1">
      <c r="A44" s="1061"/>
      <c r="B44" s="81"/>
      <c r="C44" s="1858" t="s">
        <v>739</v>
      </c>
      <c r="D44" s="1858"/>
      <c r="E44" s="1858"/>
      <c r="G44" s="1851"/>
      <c r="H44" s="1848"/>
      <c r="I44" s="1846"/>
      <c r="J44" s="1846"/>
      <c r="K44" s="1846"/>
      <c r="L44" s="1847"/>
      <c r="M44" s="1842">
        <f t="shared" si="9"/>
        <v>0</v>
      </c>
      <c r="N44" s="1843"/>
      <c r="O44"/>
      <c r="P44" s="45"/>
      <c r="Q44" s="77"/>
      <c r="R44" s="76"/>
      <c r="S44" s="19"/>
      <c r="T44" s="19" t="b">
        <f>IF(R22&lt;&gt;1,G22:H24=INT(G22:H24*100)/100)</f>
        <v>0</v>
      </c>
      <c r="U44" s="19"/>
      <c r="V44" s="19"/>
      <c r="W44" s="19"/>
      <c r="X44" s="19"/>
      <c r="Y44" s="19"/>
      <c r="Z44" s="19"/>
      <c r="AA44" s="19"/>
      <c r="AB44" s="19"/>
      <c r="AC44" s="19"/>
      <c r="AD44" s="19"/>
    </row>
    <row r="45" spans="1:30" s="41" customFormat="1" ht="13.5" customHeight="1">
      <c r="A45" s="1061"/>
      <c r="B45" s="81"/>
      <c r="C45" s="1858" t="s">
        <v>742</v>
      </c>
      <c r="D45" s="1858"/>
      <c r="E45" s="1858"/>
      <c r="G45" s="1851"/>
      <c r="H45" s="1848"/>
      <c r="I45" s="1846"/>
      <c r="J45" s="1846"/>
      <c r="K45" s="1846"/>
      <c r="L45" s="1847"/>
      <c r="M45" s="1842">
        <f t="shared" si="9"/>
        <v>0</v>
      </c>
      <c r="N45" s="1843"/>
      <c r="O45"/>
      <c r="P45" s="45"/>
      <c r="Q45" s="45"/>
      <c r="R45" s="19"/>
      <c r="S45" s="19"/>
      <c r="T45" s="19"/>
      <c r="U45" s="19"/>
      <c r="V45" s="19"/>
      <c r="W45" s="19"/>
      <c r="X45" s="26">
        <f>IF(AND(C70&lt;&gt;"",M70=0),1,0)</f>
        <v>0</v>
      </c>
      <c r="Y45" s="26">
        <f>IF(AND(C70="",M70&gt;0),1,0)</f>
        <v>0</v>
      </c>
      <c r="Z45" s="19"/>
      <c r="AA45" s="19"/>
      <c r="AB45" s="19"/>
      <c r="AC45" s="19"/>
      <c r="AD45" s="19"/>
    </row>
    <row r="46" spans="1:30" s="41" customFormat="1" ht="13.5" customHeight="1">
      <c r="A46" s="1061"/>
      <c r="B46" s="81"/>
      <c r="C46" s="1858" t="s">
        <v>35</v>
      </c>
      <c r="D46" s="1858"/>
      <c r="E46" s="1858"/>
      <c r="G46" s="1851"/>
      <c r="H46" s="1848"/>
      <c r="I46" s="1846"/>
      <c r="J46" s="1846"/>
      <c r="K46" s="1846"/>
      <c r="L46" s="1847"/>
      <c r="M46" s="1842">
        <f t="shared" si="9"/>
        <v>0</v>
      </c>
      <c r="N46" s="1843"/>
      <c r="O46"/>
      <c r="P46" s="45"/>
      <c r="Q46" s="45"/>
      <c r="R46" s="19"/>
      <c r="S46" s="19"/>
      <c r="T46" s="19"/>
      <c r="U46" s="19"/>
      <c r="V46" s="19"/>
      <c r="W46" s="19"/>
      <c r="X46" s="26">
        <f t="shared" ref="X46:X51" si="10">IF(AND(C71&lt;&gt;"",M71=0),1,0)</f>
        <v>0</v>
      </c>
      <c r="Y46" s="26">
        <f t="shared" ref="Y46:Y51" si="11">IF(AND(C71="",M71&gt;0),1,0)</f>
        <v>0</v>
      </c>
      <c r="Z46" s="19"/>
      <c r="AA46" s="19"/>
      <c r="AB46" s="19"/>
      <c r="AC46" s="19"/>
      <c r="AD46" s="19"/>
    </row>
    <row r="47" spans="1:30" s="41" customFormat="1" ht="13.5" customHeight="1">
      <c r="A47" s="1858" t="s">
        <v>814</v>
      </c>
      <c r="B47" s="1858"/>
      <c r="C47" s="1855"/>
      <c r="D47" s="1856"/>
      <c r="E47" s="1857"/>
      <c r="G47" s="1851"/>
      <c r="H47" s="1848"/>
      <c r="I47" s="1846"/>
      <c r="J47" s="1846"/>
      <c r="K47" s="1846"/>
      <c r="L47" s="1847"/>
      <c r="M47" s="1842">
        <f t="shared" si="9"/>
        <v>0</v>
      </c>
      <c r="N47" s="1843"/>
      <c r="O47"/>
      <c r="P47" s="45"/>
      <c r="Q47" s="45"/>
      <c r="R47" s="41">
        <f>IF(C47="",1,0)</f>
        <v>1</v>
      </c>
      <c r="X47" s="26">
        <f t="shared" si="10"/>
        <v>0</v>
      </c>
      <c r="Y47" s="26">
        <f t="shared" si="11"/>
        <v>0</v>
      </c>
    </row>
    <row r="48" spans="1:30" s="41" customFormat="1" ht="13.5" customHeight="1">
      <c r="A48" s="1061"/>
      <c r="B48" s="1062"/>
      <c r="C48" s="1835"/>
      <c r="D48" s="1836"/>
      <c r="E48" s="1837"/>
      <c r="G48" s="1851"/>
      <c r="H48" s="1848"/>
      <c r="I48" s="1846"/>
      <c r="J48" s="1846"/>
      <c r="K48" s="1846"/>
      <c r="L48" s="1847"/>
      <c r="M48" s="1842">
        <f t="shared" si="9"/>
        <v>0</v>
      </c>
      <c r="N48" s="1843"/>
      <c r="O48"/>
      <c r="P48" s="45"/>
      <c r="Q48" s="45"/>
      <c r="R48" s="41">
        <f t="shared" ref="R48:R53" si="12">IF(C48="",1,0)</f>
        <v>1</v>
      </c>
      <c r="S48" s="19"/>
      <c r="T48" s="19"/>
      <c r="U48" s="19"/>
      <c r="V48" s="19"/>
      <c r="W48" s="19"/>
      <c r="X48" s="26">
        <f t="shared" si="10"/>
        <v>0</v>
      </c>
      <c r="Y48" s="26">
        <f t="shared" si="11"/>
        <v>0</v>
      </c>
      <c r="Z48" s="19"/>
      <c r="AA48" s="19"/>
      <c r="AB48" s="19"/>
      <c r="AC48" s="19"/>
      <c r="AD48" s="19"/>
    </row>
    <row r="49" spans="1:30" s="41" customFormat="1" ht="13.5" customHeight="1">
      <c r="A49" s="1061"/>
      <c r="B49" s="1062"/>
      <c r="C49" s="1835"/>
      <c r="D49" s="1836"/>
      <c r="E49" s="1837"/>
      <c r="G49" s="1851"/>
      <c r="H49" s="1848"/>
      <c r="I49" s="1846"/>
      <c r="J49" s="1846"/>
      <c r="K49" s="1846"/>
      <c r="L49" s="1847"/>
      <c r="M49" s="1842">
        <f t="shared" si="9"/>
        <v>0</v>
      </c>
      <c r="N49" s="1843"/>
      <c r="O49"/>
      <c r="P49" s="45"/>
      <c r="Q49" s="45"/>
      <c r="R49" s="41">
        <f t="shared" si="12"/>
        <v>1</v>
      </c>
      <c r="S49" s="19"/>
      <c r="T49" s="19"/>
      <c r="U49" s="19"/>
      <c r="V49" s="19"/>
      <c r="W49" s="19"/>
      <c r="X49" s="26">
        <f t="shared" si="10"/>
        <v>0</v>
      </c>
      <c r="Y49" s="26">
        <f t="shared" si="11"/>
        <v>0</v>
      </c>
      <c r="Z49" s="19"/>
      <c r="AA49" s="19"/>
      <c r="AB49" s="19"/>
      <c r="AC49" s="19"/>
      <c r="AD49" s="19"/>
    </row>
    <row r="50" spans="1:30" s="41" customFormat="1" ht="13.5" customHeight="1">
      <c r="A50" s="1061"/>
      <c r="B50" s="1062"/>
      <c r="C50" s="1835"/>
      <c r="D50" s="1836"/>
      <c r="E50" s="1837"/>
      <c r="G50" s="1851"/>
      <c r="H50" s="1848"/>
      <c r="I50" s="1846"/>
      <c r="J50" s="1846"/>
      <c r="K50" s="1846"/>
      <c r="L50" s="1847"/>
      <c r="M50" s="1842">
        <f t="shared" si="9"/>
        <v>0</v>
      </c>
      <c r="N50" s="1843"/>
      <c r="O50"/>
      <c r="P50" s="45"/>
      <c r="Q50" s="45"/>
      <c r="R50" s="41">
        <f t="shared" si="12"/>
        <v>1</v>
      </c>
      <c r="S50" s="19"/>
      <c r="T50" s="19"/>
      <c r="U50" s="19"/>
      <c r="V50" s="19"/>
      <c r="W50" s="19"/>
      <c r="X50" s="26">
        <f t="shared" si="10"/>
        <v>0</v>
      </c>
      <c r="Y50" s="26">
        <f t="shared" si="11"/>
        <v>0</v>
      </c>
      <c r="Z50" s="19"/>
      <c r="AA50" s="19"/>
      <c r="AB50" s="19"/>
      <c r="AC50" s="19"/>
      <c r="AD50" s="19"/>
    </row>
    <row r="51" spans="1:30" s="41" customFormat="1" ht="13.5" customHeight="1">
      <c r="A51" s="1061"/>
      <c r="B51" s="1062"/>
      <c r="C51" s="1835"/>
      <c r="D51" s="1836"/>
      <c r="E51" s="1837"/>
      <c r="G51" s="1851"/>
      <c r="H51" s="1848"/>
      <c r="I51" s="1846"/>
      <c r="J51" s="1846"/>
      <c r="K51" s="1846"/>
      <c r="L51" s="1847"/>
      <c r="M51" s="1842">
        <f t="shared" si="9"/>
        <v>0</v>
      </c>
      <c r="N51" s="1843"/>
      <c r="O51"/>
      <c r="P51" s="45"/>
      <c r="Q51" s="45"/>
      <c r="R51" s="41">
        <f t="shared" si="12"/>
        <v>1</v>
      </c>
      <c r="S51" s="19"/>
      <c r="T51" s="19" t="b">
        <f>IF(R47&lt;&gt;1,G47:H53=INT(G47:H53*100)/100)</f>
        <v>0</v>
      </c>
      <c r="U51" s="19"/>
      <c r="V51" s="19"/>
      <c r="W51" s="19"/>
      <c r="X51" s="26">
        <f t="shared" si="10"/>
        <v>0</v>
      </c>
      <c r="Y51" s="26">
        <f t="shared" si="11"/>
        <v>0</v>
      </c>
      <c r="Z51" s="19"/>
      <c r="AA51" s="19"/>
      <c r="AB51" s="19"/>
      <c r="AC51" s="19"/>
      <c r="AD51" s="19"/>
    </row>
    <row r="52" spans="1:30" s="41" customFormat="1" ht="13.5" customHeight="1">
      <c r="A52" s="1061"/>
      <c r="B52" s="1062"/>
      <c r="C52" s="1835"/>
      <c r="D52" s="1836"/>
      <c r="E52" s="1837"/>
      <c r="G52" s="1851"/>
      <c r="H52" s="1848"/>
      <c r="I52" s="1846"/>
      <c r="J52" s="1846"/>
      <c r="K52" s="1846"/>
      <c r="L52" s="1847"/>
      <c r="M52" s="1842">
        <f t="shared" si="9"/>
        <v>0</v>
      </c>
      <c r="N52" s="1843"/>
      <c r="O52"/>
      <c r="P52" s="45"/>
      <c r="Q52" s="45"/>
      <c r="R52" s="41">
        <f t="shared" si="12"/>
        <v>1</v>
      </c>
      <c r="S52" s="19"/>
      <c r="T52" s="19"/>
      <c r="U52" s="19"/>
      <c r="V52" s="19"/>
      <c r="W52" s="19"/>
      <c r="X52" s="26"/>
      <c r="Y52" s="26"/>
      <c r="Z52" s="19"/>
      <c r="AA52" s="19"/>
      <c r="AB52" s="19"/>
      <c r="AC52" s="19"/>
      <c r="AD52" s="19"/>
    </row>
    <row r="53" spans="1:30" s="41" customFormat="1" ht="13.5" customHeight="1" thickBot="1">
      <c r="A53" s="1061"/>
      <c r="B53" s="1062"/>
      <c r="C53" s="1860"/>
      <c r="D53" s="1861"/>
      <c r="E53" s="1862"/>
      <c r="G53" s="1851"/>
      <c r="H53" s="1848"/>
      <c r="I53" s="1846"/>
      <c r="J53" s="1846"/>
      <c r="K53" s="1846"/>
      <c r="L53" s="1847"/>
      <c r="M53" s="1842">
        <f t="shared" si="9"/>
        <v>0</v>
      </c>
      <c r="N53" s="1843"/>
      <c r="O53"/>
      <c r="P53" s="45"/>
      <c r="Q53" s="45"/>
      <c r="R53" s="41">
        <f t="shared" si="12"/>
        <v>1</v>
      </c>
      <c r="S53" s="19"/>
      <c r="T53" s="19"/>
      <c r="U53" s="19"/>
      <c r="V53" s="19"/>
      <c r="W53" s="19"/>
      <c r="X53" s="26"/>
      <c r="Y53" s="26"/>
      <c r="Z53" s="19"/>
      <c r="AA53" s="19"/>
      <c r="AB53" s="19"/>
      <c r="AC53" s="19"/>
      <c r="AD53" s="19"/>
    </row>
    <row r="54" spans="1:30" s="41" customFormat="1" ht="13.5" customHeight="1" thickTop="1" thickBot="1">
      <c r="A54" s="194"/>
      <c r="B54" s="278"/>
      <c r="C54" s="1854" t="s">
        <v>752</v>
      </c>
      <c r="D54" s="1854"/>
      <c r="E54" s="1854"/>
      <c r="G54" s="1864">
        <f>ROUND(SUM(G42:H53),0)</f>
        <v>0</v>
      </c>
      <c r="H54" s="1850"/>
      <c r="I54" s="1878">
        <f t="shared" ref="I54" si="13">ROUND(SUM(I42:J53),0)</f>
        <v>0</v>
      </c>
      <c r="J54" s="1879"/>
      <c r="K54" s="1878">
        <f t="shared" ref="K54" si="14">ROUND(SUM(K42:L53),0)</f>
        <v>0</v>
      </c>
      <c r="L54" s="1879"/>
      <c r="M54" s="1882">
        <f>SUM(M42:N53)</f>
        <v>0</v>
      </c>
      <c r="N54" s="1883"/>
      <c r="O54"/>
      <c r="P54" s="45"/>
      <c r="Q54" s="45"/>
      <c r="R54" s="19"/>
      <c r="S54" s="19"/>
      <c r="T54" s="19"/>
      <c r="U54" s="19"/>
      <c r="V54" s="19"/>
      <c r="W54" s="19"/>
      <c r="X54" s="26"/>
      <c r="Y54" s="26"/>
      <c r="Z54" s="19"/>
      <c r="AA54" s="19"/>
      <c r="AB54" s="19"/>
      <c r="AC54" s="19"/>
      <c r="AD54" s="19"/>
    </row>
    <row r="55" spans="1:30" s="41" customFormat="1" ht="15" customHeight="1" thickTop="1">
      <c r="A55" s="49"/>
      <c r="B55" s="91"/>
      <c r="C55" s="91"/>
      <c r="D55" s="91"/>
      <c r="E55" s="91"/>
      <c r="F55" s="15"/>
      <c r="G55" s="91"/>
      <c r="H55" s="91"/>
      <c r="I55" s="91"/>
      <c r="J55" s="91"/>
      <c r="K55" s="91"/>
      <c r="L55" s="91"/>
      <c r="M55" s="91"/>
      <c r="N55" s="91"/>
      <c r="O55"/>
      <c r="P55" s="45"/>
      <c r="Q55" s="45"/>
      <c r="R55" s="19"/>
      <c r="S55" s="19"/>
      <c r="T55" s="19"/>
      <c r="U55" s="19"/>
      <c r="V55" s="19"/>
      <c r="W55" s="19"/>
      <c r="X55" s="26"/>
      <c r="Y55" s="26"/>
      <c r="Z55" s="19"/>
      <c r="AA55" s="19"/>
      <c r="AB55" s="19"/>
      <c r="AC55" s="19"/>
      <c r="AD55" s="19"/>
    </row>
    <row r="56" spans="1:30" s="41" customFormat="1" ht="15" customHeight="1" thickBot="1">
      <c r="A56" s="88"/>
      <c r="B56" s="1859" t="s">
        <v>876</v>
      </c>
      <c r="C56" s="1859"/>
      <c r="D56" s="1859"/>
      <c r="E56" s="1859"/>
      <c r="F56" s="76"/>
      <c r="G56" s="198"/>
      <c r="H56" s="198"/>
      <c r="I56" s="198"/>
      <c r="J56" s="198"/>
      <c r="K56" s="198"/>
      <c r="L56" s="198"/>
      <c r="M56" s="198"/>
      <c r="N56" s="198"/>
      <c r="O56"/>
      <c r="P56" s="45"/>
      <c r="Q56" s="45"/>
      <c r="R56" s="19"/>
      <c r="S56" s="19"/>
      <c r="T56" s="19"/>
      <c r="U56" s="19"/>
      <c r="V56" s="19"/>
      <c r="W56" s="19"/>
      <c r="X56" s="26"/>
      <c r="Y56" s="26"/>
      <c r="Z56" s="19"/>
      <c r="AA56" s="19"/>
      <c r="AB56" s="19"/>
      <c r="AC56" s="19"/>
      <c r="AD56" s="19"/>
    </row>
    <row r="57" spans="1:30" s="41" customFormat="1" ht="13.5" customHeight="1" thickTop="1">
      <c r="A57" s="1063"/>
      <c r="B57" s="1064"/>
      <c r="C57" s="1858" t="s">
        <v>6</v>
      </c>
      <c r="D57" s="1858"/>
      <c r="E57" s="1858"/>
      <c r="G57" s="1867"/>
      <c r="H57" s="1868"/>
      <c r="I57" s="1868"/>
      <c r="J57" s="1868"/>
      <c r="K57" s="1868"/>
      <c r="L57" s="1874"/>
      <c r="M57" s="1852">
        <f>ROUND(SUM(G57:L57),0)</f>
        <v>0</v>
      </c>
      <c r="N57" s="1853"/>
      <c r="O57"/>
      <c r="P57" s="45"/>
      <c r="Q57" s="45"/>
      <c r="R57" s="19"/>
      <c r="S57" s="19"/>
      <c r="T57" s="19"/>
      <c r="U57" s="19"/>
      <c r="V57" s="19"/>
      <c r="W57" s="19"/>
      <c r="X57" s="19"/>
      <c r="Y57" s="19"/>
      <c r="Z57" s="19"/>
      <c r="AA57" s="19"/>
      <c r="AB57" s="19"/>
      <c r="AC57" s="19"/>
      <c r="AD57" s="19"/>
    </row>
    <row r="58" spans="1:30" s="41" customFormat="1" ht="13.5" customHeight="1">
      <c r="A58" s="1063"/>
      <c r="B58" s="1064"/>
      <c r="C58" s="1858" t="s">
        <v>2</v>
      </c>
      <c r="D58" s="1858"/>
      <c r="E58" s="1858"/>
      <c r="G58" s="1851"/>
      <c r="H58" s="1846"/>
      <c r="I58" s="1846"/>
      <c r="J58" s="1846"/>
      <c r="K58" s="1846"/>
      <c r="L58" s="1847"/>
      <c r="M58" s="1842">
        <f t="shared" ref="M58:M76" si="15">ROUND(SUM(G58:L58),0)</f>
        <v>0</v>
      </c>
      <c r="N58" s="1843"/>
      <c r="O58"/>
      <c r="P58" s="45"/>
      <c r="Q58" s="45"/>
      <c r="R58" s="19"/>
      <c r="S58" s="19"/>
      <c r="T58" s="19"/>
      <c r="U58" s="19"/>
      <c r="V58" s="19"/>
      <c r="W58" s="19"/>
      <c r="X58" s="19"/>
      <c r="Y58" s="19"/>
      <c r="Z58" s="19"/>
      <c r="AA58" s="19"/>
      <c r="AB58" s="19"/>
      <c r="AC58" s="19"/>
      <c r="AD58" s="19"/>
    </row>
    <row r="59" spans="1:30" s="41" customFormat="1" ht="13.5" customHeight="1">
      <c r="A59" s="1063"/>
      <c r="B59" s="1064"/>
      <c r="C59" s="1858" t="s">
        <v>743</v>
      </c>
      <c r="D59" s="1858"/>
      <c r="E59" s="1858"/>
      <c r="G59" s="1851"/>
      <c r="H59" s="1846"/>
      <c r="I59" s="1846"/>
      <c r="J59" s="1846"/>
      <c r="K59" s="1846"/>
      <c r="L59" s="1847"/>
      <c r="M59" s="1842">
        <f t="shared" si="15"/>
        <v>0</v>
      </c>
      <c r="N59" s="1843"/>
      <c r="O59"/>
      <c r="P59" s="45"/>
      <c r="Q59" s="45"/>
      <c r="R59" s="19"/>
      <c r="S59" s="19"/>
      <c r="T59" s="19"/>
      <c r="U59" s="19"/>
      <c r="V59" s="19"/>
      <c r="W59" s="19"/>
      <c r="X59" s="19"/>
      <c r="Y59" s="19"/>
      <c r="Z59" s="19"/>
      <c r="AA59" s="19"/>
      <c r="AB59" s="19"/>
      <c r="AC59" s="19"/>
      <c r="AD59" s="19"/>
    </row>
    <row r="60" spans="1:30" s="41" customFormat="1" ht="13.5" customHeight="1">
      <c r="A60" s="1063"/>
      <c r="B60" s="1064"/>
      <c r="C60" s="1858" t="s">
        <v>744</v>
      </c>
      <c r="D60" s="1858"/>
      <c r="E60" s="1858"/>
      <c r="G60" s="1851"/>
      <c r="H60" s="1846"/>
      <c r="I60" s="1846"/>
      <c r="J60" s="1846"/>
      <c r="K60" s="1846"/>
      <c r="L60" s="1847"/>
      <c r="M60" s="1842">
        <f t="shared" si="15"/>
        <v>0</v>
      </c>
      <c r="N60" s="1843"/>
      <c r="O60"/>
      <c r="P60" s="45"/>
      <c r="Q60" s="45"/>
      <c r="R60" s="19"/>
      <c r="S60" s="19"/>
      <c r="T60" s="19"/>
      <c r="U60" s="19"/>
      <c r="V60" s="19"/>
      <c r="W60" s="19"/>
      <c r="X60" s="19"/>
      <c r="Y60" s="19"/>
      <c r="Z60" s="19"/>
      <c r="AA60" s="19"/>
      <c r="AB60" s="19"/>
      <c r="AC60" s="19"/>
      <c r="AD60" s="19"/>
    </row>
    <row r="61" spans="1:30" s="41" customFormat="1" ht="13.5" customHeight="1">
      <c r="A61" s="1063"/>
      <c r="B61" s="1064"/>
      <c r="C61" s="1858" t="s">
        <v>745</v>
      </c>
      <c r="D61" s="1858"/>
      <c r="E61" s="1858"/>
      <c r="G61" s="1851"/>
      <c r="H61" s="1846"/>
      <c r="I61" s="1846"/>
      <c r="J61" s="1846"/>
      <c r="K61" s="1846"/>
      <c r="L61" s="1847"/>
      <c r="M61" s="1842">
        <f t="shared" si="15"/>
        <v>0</v>
      </c>
      <c r="N61" s="1843"/>
      <c r="O61"/>
      <c r="P61" s="45"/>
      <c r="Q61" s="45"/>
      <c r="R61" s="19"/>
      <c r="S61" s="19"/>
      <c r="T61" s="19"/>
      <c r="U61" s="19"/>
      <c r="V61" s="19"/>
      <c r="W61" s="19"/>
      <c r="X61" s="19"/>
      <c r="Y61" s="19"/>
      <c r="Z61" s="19"/>
      <c r="AA61" s="19"/>
      <c r="AB61" s="19"/>
      <c r="AC61" s="19"/>
      <c r="AD61" s="19"/>
    </row>
    <row r="62" spans="1:30" s="41" customFormat="1" ht="13.5" customHeight="1">
      <c r="A62" s="1063"/>
      <c r="B62" s="1064"/>
      <c r="C62" s="1858" t="s">
        <v>746</v>
      </c>
      <c r="D62" s="1858"/>
      <c r="E62" s="1858"/>
      <c r="G62" s="1851"/>
      <c r="H62" s="1846"/>
      <c r="I62" s="1846"/>
      <c r="J62" s="1846"/>
      <c r="K62" s="1846"/>
      <c r="L62" s="1847"/>
      <c r="M62" s="1842">
        <f t="shared" si="15"/>
        <v>0</v>
      </c>
      <c r="N62" s="1843"/>
      <c r="O62"/>
      <c r="P62" s="45"/>
      <c r="Q62" s="45"/>
      <c r="R62" s="19"/>
      <c r="X62" s="19"/>
      <c r="Y62" s="19"/>
      <c r="Z62" s="19"/>
      <c r="AA62" s="19"/>
      <c r="AB62" s="19"/>
      <c r="AC62" s="19"/>
      <c r="AD62" s="19"/>
    </row>
    <row r="63" spans="1:30" s="41" customFormat="1" ht="13.5" customHeight="1">
      <c r="A63" s="1063"/>
      <c r="B63" s="1064"/>
      <c r="C63" s="1858" t="s">
        <v>740</v>
      </c>
      <c r="D63" s="1858"/>
      <c r="E63" s="1858"/>
      <c r="G63" s="1851"/>
      <c r="H63" s="1848"/>
      <c r="I63" s="1846"/>
      <c r="J63" s="1846"/>
      <c r="K63" s="1846"/>
      <c r="L63" s="1847"/>
      <c r="M63" s="1842">
        <f t="shared" si="15"/>
        <v>0</v>
      </c>
      <c r="N63" s="1843"/>
      <c r="O63"/>
      <c r="P63" s="45"/>
      <c r="Q63" s="45"/>
      <c r="R63" s="19"/>
      <c r="X63" s="19"/>
      <c r="Y63" s="19"/>
      <c r="Z63" s="19"/>
      <c r="AA63" s="19"/>
      <c r="AB63" s="19"/>
      <c r="AC63" s="19"/>
      <c r="AD63" s="19"/>
    </row>
    <row r="64" spans="1:30" s="41" customFormat="1" ht="13.5" customHeight="1">
      <c r="A64" s="1063"/>
      <c r="B64" s="1064"/>
      <c r="C64" s="1858" t="s">
        <v>741</v>
      </c>
      <c r="D64" s="1858"/>
      <c r="E64" s="1858"/>
      <c r="G64" s="1851"/>
      <c r="H64" s="1848"/>
      <c r="I64" s="1846"/>
      <c r="J64" s="1846"/>
      <c r="K64" s="1846"/>
      <c r="L64" s="1847"/>
      <c r="M64" s="1842">
        <f t="shared" si="15"/>
        <v>0</v>
      </c>
      <c r="N64" s="1843"/>
      <c r="O64"/>
      <c r="P64" s="45"/>
      <c r="Q64" s="45"/>
      <c r="R64" s="19"/>
      <c r="X64" s="19"/>
      <c r="Y64" s="19"/>
      <c r="Z64" s="19"/>
      <c r="AA64" s="19"/>
      <c r="AB64" s="19"/>
      <c r="AC64" s="19"/>
      <c r="AD64" s="19"/>
    </row>
    <row r="65" spans="1:30" s="41" customFormat="1" ht="13.5" customHeight="1">
      <c r="A65" s="1063"/>
      <c r="B65" s="1064"/>
      <c r="C65" s="1858" t="s">
        <v>747</v>
      </c>
      <c r="D65" s="1858"/>
      <c r="E65" s="1858"/>
      <c r="G65" s="1851"/>
      <c r="H65" s="1848"/>
      <c r="I65" s="1846"/>
      <c r="J65" s="1846"/>
      <c r="K65" s="1846"/>
      <c r="L65" s="1847"/>
      <c r="M65" s="1842">
        <f t="shared" si="15"/>
        <v>0</v>
      </c>
      <c r="N65" s="1843"/>
      <c r="O65"/>
      <c r="P65" s="45"/>
      <c r="Q65" s="45"/>
      <c r="R65" s="19"/>
      <c r="X65" s="19"/>
      <c r="Y65" s="19"/>
      <c r="Z65" s="19"/>
      <c r="AA65" s="19"/>
      <c r="AB65" s="19"/>
      <c r="AC65" s="19"/>
      <c r="AD65" s="19"/>
    </row>
    <row r="66" spans="1:30" s="41" customFormat="1" ht="13.5" customHeight="1">
      <c r="A66" s="1063"/>
      <c r="B66" s="1064"/>
      <c r="C66" s="1858" t="s">
        <v>134</v>
      </c>
      <c r="D66" s="1858"/>
      <c r="E66" s="1858"/>
      <c r="G66" s="1851"/>
      <c r="H66" s="1848"/>
      <c r="I66" s="1846"/>
      <c r="J66" s="1846"/>
      <c r="K66" s="1846"/>
      <c r="L66" s="1847"/>
      <c r="M66" s="1842">
        <f t="shared" si="15"/>
        <v>0</v>
      </c>
      <c r="N66" s="1843"/>
      <c r="O66"/>
      <c r="P66" s="45"/>
      <c r="Q66" s="77"/>
      <c r="R66" s="76"/>
      <c r="T66" s="185" t="s">
        <v>917</v>
      </c>
      <c r="U66" s="60">
        <f>'C(1)-Rental Operating ProForma'!K37+'C(1)-Rental Operating ProForma'!L37+'C(1)-Rental Operating ProForma'!M37+'C(1)-Rental Operating ProForma'!N37+'C(1)-Rental Operating ProForma'!O37+'C(1)-Rental Operating ProForma'!P37+'C(1)-Rental Operating ProForma'!Q37</f>
        <v>0</v>
      </c>
      <c r="V66" s="41">
        <f>IF(U66&gt;0,1,0)</f>
        <v>0</v>
      </c>
      <c r="X66" s="19"/>
      <c r="Y66" s="19"/>
      <c r="Z66" s="19"/>
      <c r="AA66" s="19"/>
      <c r="AB66" s="19"/>
      <c r="AC66" s="19"/>
      <c r="AD66" s="19"/>
    </row>
    <row r="67" spans="1:30" ht="13.5" customHeight="1">
      <c r="A67" s="1063"/>
      <c r="B67" s="1064"/>
      <c r="C67" s="1858" t="s">
        <v>748</v>
      </c>
      <c r="D67" s="1858"/>
      <c r="E67" s="1858"/>
      <c r="F67" s="41"/>
      <c r="G67" s="1851"/>
      <c r="H67" s="1848"/>
      <c r="I67" s="1846"/>
      <c r="J67" s="1846"/>
      <c r="K67" s="1846"/>
      <c r="L67" s="1847"/>
      <c r="M67" s="1842">
        <f t="shared" si="15"/>
        <v>0</v>
      </c>
      <c r="N67" s="1843"/>
      <c r="P67" s="49"/>
      <c r="Q67" s="49"/>
      <c r="R67" s="15"/>
      <c r="T67" s="185" t="s">
        <v>918</v>
      </c>
      <c r="U67" s="527">
        <f>G66</f>
        <v>0</v>
      </c>
      <c r="V67" s="41">
        <f>IF(U67&gt;0,1,0)</f>
        <v>0</v>
      </c>
    </row>
    <row r="68" spans="1:30" s="41" customFormat="1" ht="13.5" customHeight="1">
      <c r="A68" s="1063"/>
      <c r="B68" s="1064"/>
      <c r="C68" s="1858" t="s">
        <v>749</v>
      </c>
      <c r="D68" s="1858"/>
      <c r="E68" s="1858"/>
      <c r="G68" s="1851"/>
      <c r="H68" s="1848"/>
      <c r="I68" s="1846"/>
      <c r="J68" s="1846"/>
      <c r="K68" s="1846"/>
      <c r="L68" s="1847"/>
      <c r="M68" s="1842">
        <f t="shared" si="15"/>
        <v>0</v>
      </c>
      <c r="N68" s="1843"/>
      <c r="O68"/>
      <c r="P68" s="77"/>
      <c r="Q68" s="77"/>
      <c r="R68" s="76"/>
      <c r="X68" s="19"/>
      <c r="Y68" s="19"/>
      <c r="Z68" s="19"/>
      <c r="AA68" s="19"/>
      <c r="AB68" s="19"/>
      <c r="AC68" s="19"/>
      <c r="AD68" s="19"/>
    </row>
    <row r="69" spans="1:30" s="41" customFormat="1" ht="13.5" customHeight="1">
      <c r="A69" s="1063"/>
      <c r="B69" s="1064"/>
      <c r="C69" s="1858" t="s">
        <v>138</v>
      </c>
      <c r="D69" s="1858"/>
      <c r="E69" s="1858"/>
      <c r="G69" s="1851"/>
      <c r="H69" s="1848"/>
      <c r="I69" s="1846"/>
      <c r="J69" s="1846"/>
      <c r="K69" s="1846"/>
      <c r="L69" s="1847"/>
      <c r="M69" s="1842">
        <f t="shared" si="15"/>
        <v>0</v>
      </c>
      <c r="N69" s="1843"/>
      <c r="O69"/>
      <c r="P69" s="88"/>
      <c r="Q69" s="88"/>
      <c r="S69" s="19"/>
      <c r="T69" s="19"/>
      <c r="U69" s="19"/>
      <c r="V69" s="19"/>
      <c r="W69" s="19"/>
      <c r="X69" s="19"/>
      <c r="Y69" s="19"/>
      <c r="Z69" s="19"/>
      <c r="AA69" s="19"/>
      <c r="AB69" s="19"/>
      <c r="AC69" s="19"/>
      <c r="AD69" s="19"/>
    </row>
    <row r="70" spans="1:30" s="41" customFormat="1" ht="13.5" customHeight="1">
      <c r="A70" s="1858" t="s">
        <v>814</v>
      </c>
      <c r="B70" s="1858"/>
      <c r="C70" s="1855"/>
      <c r="D70" s="1856"/>
      <c r="E70" s="1857"/>
      <c r="G70" s="1851"/>
      <c r="H70" s="1848"/>
      <c r="I70" s="1846"/>
      <c r="J70" s="1846"/>
      <c r="K70" s="1846"/>
      <c r="L70" s="1847"/>
      <c r="M70" s="1842">
        <f t="shared" si="15"/>
        <v>0</v>
      </c>
      <c r="N70" s="1843"/>
      <c r="O70"/>
      <c r="P70" s="88"/>
      <c r="Q70" s="88"/>
      <c r="R70" s="41">
        <f>IF(C70="",1,0)</f>
        <v>1</v>
      </c>
      <c r="S70" s="19"/>
      <c r="T70" s="19"/>
      <c r="U70" s="19"/>
      <c r="V70" s="19"/>
      <c r="W70" s="19"/>
      <c r="X70" s="19"/>
      <c r="Y70" s="19"/>
      <c r="Z70" s="19"/>
      <c r="AA70" s="19"/>
      <c r="AB70" s="19"/>
      <c r="AC70" s="19"/>
      <c r="AD70" s="19"/>
    </row>
    <row r="71" spans="1:30" s="41" customFormat="1" ht="13.5" customHeight="1">
      <c r="A71" s="1063"/>
      <c r="B71" s="1065"/>
      <c r="C71" s="1835"/>
      <c r="D71" s="1836"/>
      <c r="E71" s="1837"/>
      <c r="G71" s="1844"/>
      <c r="H71" s="1845"/>
      <c r="I71" s="1846"/>
      <c r="J71" s="1846"/>
      <c r="K71" s="1846"/>
      <c r="L71" s="1847"/>
      <c r="M71" s="1842">
        <f t="shared" si="15"/>
        <v>0</v>
      </c>
      <c r="N71" s="1843"/>
      <c r="O71"/>
      <c r="P71" s="88"/>
      <c r="Q71" s="88"/>
      <c r="R71" s="41">
        <f t="shared" ref="R71:R76" si="16">IF(C71="",1,0)</f>
        <v>1</v>
      </c>
    </row>
    <row r="72" spans="1:30" s="41" customFormat="1" ht="13.5" customHeight="1">
      <c r="A72" s="1063"/>
      <c r="B72" s="1065"/>
      <c r="C72" s="1835"/>
      <c r="D72" s="1836"/>
      <c r="E72" s="1837"/>
      <c r="G72" s="1844"/>
      <c r="H72" s="1845"/>
      <c r="I72" s="1846"/>
      <c r="J72" s="1846"/>
      <c r="K72" s="1846"/>
      <c r="L72" s="1847"/>
      <c r="M72" s="1842">
        <f t="shared" si="15"/>
        <v>0</v>
      </c>
      <c r="N72" s="1843"/>
      <c r="O72"/>
      <c r="P72" s="88"/>
      <c r="Q72" s="88"/>
      <c r="R72" s="41">
        <f>IF(C72="",1,0)</f>
        <v>1</v>
      </c>
    </row>
    <row r="73" spans="1:30" s="41" customFormat="1" ht="13.5" customHeight="1">
      <c r="A73" s="1063"/>
      <c r="B73" s="1065"/>
      <c r="C73" s="1835"/>
      <c r="D73" s="1836"/>
      <c r="E73" s="1837"/>
      <c r="G73" s="1844"/>
      <c r="H73" s="1845"/>
      <c r="I73" s="1846"/>
      <c r="J73" s="1846"/>
      <c r="K73" s="1846"/>
      <c r="L73" s="1847"/>
      <c r="M73" s="1842">
        <f t="shared" si="15"/>
        <v>0</v>
      </c>
      <c r="N73" s="1843"/>
      <c r="O73"/>
      <c r="P73" s="88"/>
      <c r="Q73" s="88"/>
      <c r="R73" s="41">
        <f>IF(C73="",1,0)</f>
        <v>1</v>
      </c>
    </row>
    <row r="74" spans="1:30" s="41" customFormat="1" ht="13.5" customHeight="1">
      <c r="A74" s="1063"/>
      <c r="B74" s="1065"/>
      <c r="C74" s="1835"/>
      <c r="D74" s="1836"/>
      <c r="E74" s="1837"/>
      <c r="G74" s="1844"/>
      <c r="H74" s="1845"/>
      <c r="I74" s="1846"/>
      <c r="J74" s="1846"/>
      <c r="K74" s="1846"/>
      <c r="L74" s="1847"/>
      <c r="M74" s="1842">
        <f t="shared" si="15"/>
        <v>0</v>
      </c>
      <c r="N74" s="1843"/>
      <c r="O74"/>
      <c r="P74" s="88"/>
      <c r="Q74" s="88"/>
      <c r="R74" s="41">
        <f>IF(C74="",1,0)</f>
        <v>1</v>
      </c>
    </row>
    <row r="75" spans="1:30" s="41" customFormat="1" ht="13.5" customHeight="1">
      <c r="A75" s="1063"/>
      <c r="B75" s="1065"/>
      <c r="C75" s="1835"/>
      <c r="D75" s="1836"/>
      <c r="E75" s="1837"/>
      <c r="G75" s="1844"/>
      <c r="H75" s="1845"/>
      <c r="I75" s="1848"/>
      <c r="J75" s="1845"/>
      <c r="K75" s="1848"/>
      <c r="L75" s="1849"/>
      <c r="M75" s="1842">
        <f t="shared" si="15"/>
        <v>0</v>
      </c>
      <c r="N75" s="1843"/>
      <c r="O75"/>
      <c r="P75" s="88"/>
      <c r="Q75" s="88"/>
      <c r="R75" s="41">
        <f t="shared" si="16"/>
        <v>1</v>
      </c>
    </row>
    <row r="76" spans="1:30" s="41" customFormat="1" ht="13.5" customHeight="1" thickBot="1">
      <c r="A76" s="1063"/>
      <c r="B76" s="1065"/>
      <c r="C76" s="1860"/>
      <c r="D76" s="1861"/>
      <c r="E76" s="1862"/>
      <c r="G76" s="1896"/>
      <c r="H76" s="1897"/>
      <c r="I76" s="1898"/>
      <c r="J76" s="1897"/>
      <c r="K76" s="1898"/>
      <c r="L76" s="1899"/>
      <c r="M76" s="1842">
        <f t="shared" si="15"/>
        <v>0</v>
      </c>
      <c r="N76" s="1843"/>
      <c r="O76"/>
      <c r="P76" s="88"/>
      <c r="Q76" s="88"/>
      <c r="R76" s="41">
        <f t="shared" si="16"/>
        <v>1</v>
      </c>
    </row>
    <row r="77" spans="1:30" s="41" customFormat="1" ht="13.5" customHeight="1" thickTop="1" thickBot="1">
      <c r="A77" s="194"/>
      <c r="B77" s="599"/>
      <c r="C77" s="600"/>
      <c r="D77" s="1854" t="s">
        <v>753</v>
      </c>
      <c r="E77" s="1854"/>
      <c r="G77" s="1864">
        <f>ROUND(SUM(G57:H76),0)</f>
        <v>0</v>
      </c>
      <c r="H77" s="1850"/>
      <c r="I77" s="1878">
        <f t="shared" ref="I77" si="17">ROUND(SUM(I57:J76),0)</f>
        <v>0</v>
      </c>
      <c r="J77" s="1879"/>
      <c r="K77" s="1878">
        <f t="shared" ref="K77" si="18">ROUND(SUM(K57:L76),0)</f>
        <v>0</v>
      </c>
      <c r="L77" s="1879"/>
      <c r="M77" s="1880">
        <f>SUM(M57:N76)</f>
        <v>0</v>
      </c>
      <c r="N77" s="1881"/>
      <c r="O77"/>
      <c r="P77" s="88"/>
      <c r="Q77" s="88"/>
      <c r="T77" s="41">
        <f>IF(V66&lt;&gt;1,INT(G66*100)/100)</f>
        <v>0</v>
      </c>
    </row>
    <row r="78" spans="1:30" s="41" customFormat="1" ht="5.25" customHeight="1" thickTop="1" thickBot="1">
      <c r="A78" s="172"/>
      <c r="B78" s="456"/>
      <c r="C78" s="601"/>
      <c r="D78" s="601"/>
      <c r="E78" s="601"/>
      <c r="F78" s="40"/>
      <c r="G78" s="40"/>
      <c r="H78" s="40"/>
      <c r="I78" s="40"/>
      <c r="J78" s="40"/>
      <c r="K78" s="40"/>
      <c r="L78" s="40"/>
      <c r="M78" s="40"/>
      <c r="N78" s="40"/>
      <c r="O78"/>
      <c r="P78" s="88"/>
      <c r="Q78" s="88"/>
    </row>
    <row r="79" spans="1:30" s="41" customFormat="1" ht="13.5" customHeight="1" thickTop="1" thickBot="1">
      <c r="A79" s="194"/>
      <c r="B79" s="278"/>
      <c r="C79" s="602"/>
      <c r="D79" s="1854" t="s">
        <v>750</v>
      </c>
      <c r="E79" s="1854"/>
      <c r="G79" s="1893">
        <f>ROUND(SUM(G77,G54),0)</f>
        <v>0</v>
      </c>
      <c r="H79" s="1894"/>
      <c r="I79" s="1890">
        <f t="shared" ref="I79" si="19">ROUND(SUM(I77,I54),0)</f>
        <v>0</v>
      </c>
      <c r="J79" s="1891"/>
      <c r="K79" s="1890">
        <f t="shared" ref="K79" si="20">ROUND(SUM(K77,K54),0)</f>
        <v>0</v>
      </c>
      <c r="L79" s="1891"/>
      <c r="M79" s="1886">
        <f>SUM(M77,M54)</f>
        <v>0</v>
      </c>
      <c r="N79" s="1887"/>
      <c r="O79"/>
      <c r="P79" s="88"/>
      <c r="Q79" s="88"/>
    </row>
    <row r="80" spans="1:30" s="41" customFormat="1" ht="5.25" customHeight="1" thickTop="1" thickBot="1">
      <c r="A80" s="172"/>
      <c r="B80" s="456"/>
      <c r="C80" s="601"/>
      <c r="D80" s="601"/>
      <c r="E80" s="601"/>
      <c r="F80" s="40"/>
      <c r="G80" s="40"/>
      <c r="H80" s="40"/>
      <c r="I80" s="40"/>
      <c r="J80" s="40"/>
      <c r="K80" s="40"/>
      <c r="L80" s="40"/>
      <c r="M80" s="40"/>
      <c r="N80" s="40"/>
      <c r="O80"/>
      <c r="P80" s="88"/>
      <c r="Q80" s="88"/>
    </row>
    <row r="81" spans="1:30" s="41" customFormat="1" ht="13.5" customHeight="1" thickTop="1" thickBot="1">
      <c r="A81" s="194"/>
      <c r="B81" s="278"/>
      <c r="C81" s="1854" t="s">
        <v>36</v>
      </c>
      <c r="D81" s="1854"/>
      <c r="E81" s="1854"/>
      <c r="F81" s="40"/>
      <c r="G81" s="1892">
        <f>ROUND(SUM(G77,G54,G39,G29),0)</f>
        <v>0</v>
      </c>
      <c r="H81" s="1888"/>
      <c r="I81" s="1888">
        <f>ROUND(SUM(I77,I54,I39,I29),0)</f>
        <v>0</v>
      </c>
      <c r="J81" s="1888"/>
      <c r="K81" s="1888">
        <f>ROUND(SUM(K77,K54,K39,K29),0)</f>
        <v>0</v>
      </c>
      <c r="L81" s="1888"/>
      <c r="M81" s="1888">
        <f>ROUND(SUM(M77,M29,M39,M54),0)</f>
        <v>0</v>
      </c>
      <c r="N81" s="1889"/>
      <c r="O81"/>
      <c r="P81" s="88"/>
      <c r="Q81" s="88"/>
    </row>
    <row r="82" spans="1:30" s="41" customFormat="1" ht="24" customHeight="1" thickTop="1">
      <c r="A82" s="201"/>
      <c r="B82" s="200"/>
      <c r="C82" s="202"/>
      <c r="D82" s="202"/>
      <c r="E82" s="202"/>
      <c r="F82" s="15"/>
      <c r="G82" s="1884"/>
      <c r="H82" s="1884"/>
      <c r="I82" s="1884"/>
      <c r="J82" s="1884"/>
      <c r="K82" s="1884"/>
      <c r="L82" s="1884"/>
      <c r="M82" s="1885" t="str">
        <f>IF(M81&lt;&gt;'A(1)-Sources Stmt.'!F50,"Total sources do not equal total uses."," ")</f>
        <v xml:space="preserve"> </v>
      </c>
      <c r="N82" s="1885"/>
      <c r="O82"/>
      <c r="P82" s="88"/>
      <c r="Q82" s="88"/>
    </row>
    <row r="83" spans="1:30" s="41" customFormat="1" ht="15" customHeight="1">
      <c r="A83" s="201"/>
      <c r="B83" s="201"/>
      <c r="C83" s="201"/>
      <c r="D83" s="201"/>
      <c r="E83" s="201"/>
      <c r="F83" s="49"/>
      <c r="G83" s="201"/>
      <c r="H83" s="201"/>
      <c r="I83" s="58"/>
      <c r="J83" s="58"/>
      <c r="K83" s="201"/>
      <c r="L83" s="201"/>
      <c r="M83" s="201"/>
      <c r="N83" s="203"/>
      <c r="O83"/>
      <c r="P83" s="88"/>
      <c r="Q83" s="88"/>
    </row>
    <row r="84" spans="1:30" s="41" customFormat="1" ht="15" customHeight="1">
      <c r="A84" s="204"/>
      <c r="B84" s="204"/>
      <c r="C84" s="204"/>
      <c r="D84" s="204"/>
      <c r="E84" s="204"/>
      <c r="F84" s="15"/>
      <c r="G84" s="204"/>
      <c r="H84" s="204"/>
      <c r="I84" s="204"/>
      <c r="J84" s="204"/>
      <c r="K84" s="204"/>
      <c r="L84" s="204"/>
      <c r="M84" s="204"/>
      <c r="N84" s="204"/>
      <c r="O84"/>
      <c r="P84" s="88"/>
      <c r="Q84" s="88"/>
    </row>
    <row r="85" spans="1:30" s="41" customFormat="1" ht="15" customHeight="1">
      <c r="A85" s="205"/>
      <c r="B85" s="205"/>
      <c r="C85" s="205"/>
      <c r="D85" s="205"/>
      <c r="E85" s="205"/>
      <c r="F85" s="15"/>
      <c r="G85" s="205"/>
      <c r="H85" s="205"/>
      <c r="I85" s="205"/>
      <c r="J85" s="205"/>
      <c r="K85" s="205"/>
      <c r="L85" s="205"/>
      <c r="M85" s="205"/>
      <c r="N85" s="205"/>
      <c r="O85"/>
      <c r="P85" s="88"/>
      <c r="Q85" s="88"/>
    </row>
    <row r="86" spans="1:30" s="41" customFormat="1" ht="15" customHeight="1">
      <c r="A86" s="15"/>
      <c r="B86" s="15"/>
      <c r="C86" s="15"/>
      <c r="D86" s="15"/>
      <c r="E86" s="15"/>
      <c r="F86" s="15"/>
      <c r="G86" s="15"/>
      <c r="H86" s="15"/>
      <c r="I86" s="15"/>
      <c r="J86" s="15"/>
      <c r="K86" s="15"/>
      <c r="L86" s="15"/>
      <c r="M86" s="15"/>
      <c r="N86" s="15"/>
      <c r="O86"/>
      <c r="P86" s="88"/>
      <c r="Q86" s="88"/>
    </row>
    <row r="87" spans="1:30" s="41" customFormat="1" ht="15" customHeight="1">
      <c r="A87" s="15"/>
      <c r="B87" s="15"/>
      <c r="C87" s="15"/>
      <c r="D87" s="15"/>
      <c r="E87" s="15"/>
      <c r="F87" s="15"/>
      <c r="G87" s="15"/>
      <c r="H87" s="15"/>
      <c r="I87" s="15"/>
      <c r="J87" s="15"/>
      <c r="K87" s="15"/>
      <c r="L87" s="15"/>
      <c r="M87" s="15"/>
      <c r="N87" s="15"/>
      <c r="O87"/>
      <c r="P87" s="88"/>
      <c r="Q87" s="88"/>
    </row>
    <row r="88" spans="1:30" ht="4.5" customHeight="1">
      <c r="A88" s="15"/>
      <c r="B88" s="15"/>
      <c r="C88" s="15"/>
      <c r="D88" s="15"/>
      <c r="E88" s="15"/>
      <c r="G88" s="15"/>
      <c r="H88" s="15"/>
      <c r="I88" s="15"/>
      <c r="J88" s="15"/>
      <c r="K88" s="15"/>
      <c r="L88" s="15"/>
      <c r="M88" s="15"/>
      <c r="N88" s="15"/>
      <c r="P88" s="49"/>
      <c r="Q88" s="49"/>
      <c r="R88" s="15"/>
    </row>
    <row r="89" spans="1:30" s="76" customFormat="1" ht="15" customHeight="1">
      <c r="A89" s="15"/>
      <c r="B89" s="15"/>
      <c r="C89" s="15"/>
      <c r="D89" s="15"/>
      <c r="E89" s="15"/>
      <c r="F89" s="15"/>
      <c r="G89" s="15"/>
      <c r="H89" s="15"/>
      <c r="I89" s="15"/>
      <c r="J89" s="15"/>
      <c r="K89" s="15"/>
      <c r="L89" s="15"/>
      <c r="M89" s="15"/>
      <c r="N89" s="15"/>
      <c r="O89"/>
      <c r="P89" s="77"/>
      <c r="Q89" s="77"/>
    </row>
    <row r="90" spans="1:30" ht="4.5" customHeight="1">
      <c r="P90" s="49"/>
      <c r="Q90" s="45"/>
      <c r="R90" s="19"/>
    </row>
    <row r="91" spans="1:30" s="83" customFormat="1" ht="15" customHeight="1">
      <c r="A91" s="206"/>
      <c r="B91" s="206"/>
      <c r="C91" s="206"/>
      <c r="D91" s="206"/>
      <c r="E91" s="206"/>
      <c r="F91" s="15"/>
      <c r="G91" s="206"/>
      <c r="H91" s="206"/>
      <c r="I91" s="206"/>
      <c r="J91" s="206"/>
      <c r="K91" s="206"/>
      <c r="L91" s="206"/>
      <c r="M91" s="206"/>
      <c r="N91" s="206"/>
      <c r="O91"/>
      <c r="P91" s="200"/>
      <c r="Q91" s="200"/>
      <c r="R91" s="16"/>
      <c r="S91" s="84"/>
      <c r="W91" s="84"/>
      <c r="X91" s="84"/>
      <c r="Y91" s="84"/>
      <c r="Z91" s="84"/>
      <c r="AA91" s="84"/>
      <c r="AB91" s="84"/>
      <c r="AC91" s="84"/>
      <c r="AD91" s="84"/>
    </row>
    <row r="92" spans="1:30" s="41" customFormat="1" ht="33" customHeight="1">
      <c r="A92" s="206"/>
      <c r="B92" s="206"/>
      <c r="C92" s="206"/>
      <c r="D92" s="206"/>
      <c r="E92" s="206"/>
      <c r="F92" s="15"/>
      <c r="G92" s="206"/>
      <c r="H92" s="206"/>
      <c r="I92" s="206"/>
      <c r="J92" s="206"/>
      <c r="K92" s="206"/>
      <c r="L92" s="206"/>
      <c r="M92" s="206"/>
      <c r="N92" s="206"/>
      <c r="O92"/>
      <c r="P92" s="201"/>
      <c r="Q92" s="201"/>
      <c r="R92" s="13"/>
      <c r="S92" s="19"/>
      <c r="T92" s="19"/>
      <c r="U92" s="19"/>
      <c r="V92" s="19"/>
      <c r="W92" s="19"/>
      <c r="X92" s="19"/>
      <c r="Y92" s="19"/>
      <c r="Z92" s="19"/>
      <c r="AA92" s="19"/>
      <c r="AB92" s="19"/>
      <c r="AC92" s="19"/>
      <c r="AD92" s="19"/>
    </row>
    <row r="93" spans="1:30" s="41" customFormat="1">
      <c r="A93" s="206"/>
      <c r="B93" s="206"/>
      <c r="C93" s="206"/>
      <c r="D93" s="206"/>
      <c r="E93" s="206"/>
      <c r="F93" s="15"/>
      <c r="G93" s="206"/>
      <c r="H93" s="206"/>
      <c r="I93" s="206"/>
      <c r="J93" s="206"/>
      <c r="K93" s="206"/>
      <c r="L93" s="206"/>
      <c r="M93" s="206"/>
      <c r="N93" s="206"/>
      <c r="O93"/>
      <c r="P93" s="201"/>
      <c r="Q93" s="201"/>
      <c r="R93" s="10"/>
      <c r="S93" s="19"/>
      <c r="T93" s="19"/>
      <c r="U93" s="19"/>
      <c r="V93" s="19"/>
      <c r="W93" s="19"/>
      <c r="X93" s="19"/>
      <c r="Y93" s="19"/>
      <c r="Z93" s="19"/>
      <c r="AA93" s="19"/>
      <c r="AB93" s="19"/>
      <c r="AC93" s="19"/>
      <c r="AD93" s="19"/>
    </row>
    <row r="94" spans="1:30" s="41" customFormat="1" ht="6" customHeight="1">
      <c r="A94" s="206"/>
      <c r="B94" s="206"/>
      <c r="C94" s="206"/>
      <c r="D94" s="206"/>
      <c r="E94" s="206"/>
      <c r="F94" s="15"/>
      <c r="G94" s="206"/>
      <c r="H94" s="206"/>
      <c r="I94" s="206"/>
      <c r="J94" s="206"/>
      <c r="K94" s="206"/>
      <c r="L94" s="206"/>
      <c r="M94" s="206"/>
      <c r="N94" s="206"/>
      <c r="O94"/>
      <c r="P94" s="201"/>
      <c r="Q94" s="201"/>
      <c r="R94" s="10"/>
      <c r="S94" s="19"/>
      <c r="T94" s="19"/>
      <c r="U94" s="19"/>
      <c r="V94" s="19"/>
      <c r="W94" s="19"/>
      <c r="X94" s="19"/>
      <c r="Y94" s="19"/>
      <c r="Z94" s="19"/>
      <c r="AA94" s="19"/>
      <c r="AB94" s="19"/>
      <c r="AC94" s="19"/>
      <c r="AD94" s="19"/>
    </row>
    <row r="95" spans="1:30" s="41" customFormat="1" ht="15.75" customHeight="1">
      <c r="A95" s="206"/>
      <c r="B95" s="206"/>
      <c r="C95" s="206"/>
      <c r="D95" s="206"/>
      <c r="E95" s="206"/>
      <c r="F95" s="15"/>
      <c r="G95" s="206"/>
      <c r="H95" s="206"/>
      <c r="I95" s="206"/>
      <c r="J95" s="206"/>
      <c r="K95" s="206"/>
      <c r="L95" s="206"/>
      <c r="M95" s="206"/>
      <c r="N95" s="206"/>
      <c r="O95"/>
      <c r="P95" s="201"/>
      <c r="Q95" s="201"/>
      <c r="R95" s="10"/>
      <c r="T95" s="19"/>
      <c r="W95" s="19"/>
      <c r="X95" s="19"/>
      <c r="Y95" s="19"/>
      <c r="Z95" s="19"/>
      <c r="AA95" s="19"/>
      <c r="AB95" s="19"/>
      <c r="AC95" s="19"/>
      <c r="AD95" s="19"/>
    </row>
    <row r="96" spans="1:30">
      <c r="P96" s="15"/>
      <c r="Q96" s="15"/>
      <c r="R96" s="13"/>
      <c r="S96" s="7"/>
      <c r="T96" s="7"/>
      <c r="U96" s="7"/>
      <c r="V96" s="7"/>
      <c r="W96" s="7"/>
      <c r="X96" s="7"/>
      <c r="Y96" s="7"/>
      <c r="Z96" s="7"/>
      <c r="AA96" s="7"/>
      <c r="AB96" s="7"/>
      <c r="AC96" s="7"/>
      <c r="AD96" s="7"/>
    </row>
    <row r="97" spans="1:30">
      <c r="P97" s="15"/>
      <c r="Q97" s="15"/>
      <c r="R97" s="13"/>
      <c r="S97" s="7"/>
      <c r="T97" s="7"/>
      <c r="U97" s="7"/>
      <c r="V97" s="7"/>
      <c r="W97" s="7"/>
      <c r="X97" s="7"/>
      <c r="Y97" s="7"/>
      <c r="Z97" s="7"/>
      <c r="AA97" s="7"/>
      <c r="AB97" s="7"/>
      <c r="AC97" s="7"/>
      <c r="AD97" s="7"/>
    </row>
    <row r="98" spans="1:30">
      <c r="P98" s="15"/>
      <c r="Q98" s="15"/>
      <c r="R98" s="13"/>
      <c r="S98" s="7"/>
      <c r="T98" s="7"/>
      <c r="U98" s="7"/>
      <c r="V98" s="7"/>
      <c r="W98" s="7"/>
      <c r="X98" s="7"/>
      <c r="Y98" s="7"/>
      <c r="Z98" s="7"/>
      <c r="AA98" s="7"/>
      <c r="AB98" s="7"/>
      <c r="AC98" s="7"/>
      <c r="AD98" s="7"/>
    </row>
    <row r="99" spans="1:30">
      <c r="P99" s="15"/>
      <c r="S99" s="7"/>
      <c r="T99" s="7"/>
      <c r="U99" s="7"/>
      <c r="V99" s="7"/>
      <c r="W99" s="7"/>
      <c r="X99" s="7"/>
      <c r="Y99" s="7"/>
      <c r="Z99" s="7"/>
      <c r="AA99" s="7"/>
      <c r="AB99" s="7"/>
      <c r="AC99" s="7"/>
      <c r="AD99" s="7"/>
    </row>
    <row r="100" spans="1:30">
      <c r="A100" s="15"/>
      <c r="B100" s="15"/>
      <c r="C100" s="15"/>
      <c r="D100" s="15"/>
      <c r="E100" s="15"/>
      <c r="G100" s="15"/>
      <c r="H100" s="15"/>
      <c r="I100" s="207"/>
      <c r="J100" s="207"/>
      <c r="K100" s="15"/>
      <c r="L100" s="15"/>
      <c r="M100" s="15"/>
      <c r="N100" s="15"/>
      <c r="S100" s="7"/>
      <c r="T100" s="7"/>
      <c r="U100" s="7"/>
      <c r="V100" s="7"/>
      <c r="W100" s="7"/>
      <c r="X100" s="7"/>
      <c r="Y100" s="7"/>
      <c r="Z100" s="7"/>
      <c r="AA100" s="7"/>
      <c r="AB100" s="7"/>
      <c r="AC100" s="7"/>
      <c r="AD100" s="7"/>
    </row>
    <row r="101" spans="1:30">
      <c r="S101" s="7"/>
      <c r="T101" s="7"/>
      <c r="U101" s="7"/>
      <c r="V101" s="7"/>
      <c r="W101" s="7"/>
      <c r="X101" s="7"/>
      <c r="Y101" s="7"/>
      <c r="Z101" s="7"/>
      <c r="AA101" s="7"/>
      <c r="AB101" s="7"/>
      <c r="AC101" s="7"/>
      <c r="AD101" s="7"/>
    </row>
    <row r="102" spans="1:30">
      <c r="S102" s="7"/>
      <c r="T102" s="7"/>
      <c r="U102" s="7"/>
      <c r="V102" s="7"/>
      <c r="W102" s="7"/>
      <c r="X102" s="7"/>
      <c r="Y102" s="7"/>
      <c r="Z102" s="7"/>
      <c r="AA102" s="7"/>
      <c r="AB102" s="7"/>
      <c r="AC102" s="7"/>
      <c r="AD102" s="7"/>
    </row>
    <row r="103" spans="1:30">
      <c r="S103" s="7"/>
      <c r="T103" s="7"/>
      <c r="U103" s="7"/>
      <c r="V103" s="7"/>
      <c r="W103" s="7"/>
      <c r="X103" s="7"/>
    </row>
    <row r="109" spans="1:30">
      <c r="Q109" s="15"/>
      <c r="R109" s="15"/>
    </row>
    <row r="110" spans="1:30">
      <c r="P110" s="15"/>
    </row>
  </sheetData>
  <sheetProtection password="C9A3" sheet="1" objects="1" scenarios="1" selectLockedCells="1"/>
  <mergeCells count="301">
    <mergeCell ref="E12:G12"/>
    <mergeCell ref="E14:G14"/>
    <mergeCell ref="G69:H69"/>
    <mergeCell ref="I69:J69"/>
    <mergeCell ref="K69:L69"/>
    <mergeCell ref="G70:H70"/>
    <mergeCell ref="I70:J70"/>
    <mergeCell ref="K70:L70"/>
    <mergeCell ref="L12:M12"/>
    <mergeCell ref="L13:M13"/>
    <mergeCell ref="L14:N14"/>
    <mergeCell ref="C70:E70"/>
    <mergeCell ref="C21:E21"/>
    <mergeCell ref="C20:E20"/>
    <mergeCell ref="C19:E19"/>
    <mergeCell ref="B18:E18"/>
    <mergeCell ref="M69:N69"/>
    <mergeCell ref="M70:N70"/>
    <mergeCell ref="M67:N67"/>
    <mergeCell ref="G68:H68"/>
    <mergeCell ref="I68:J68"/>
    <mergeCell ref="K68:L68"/>
    <mergeCell ref="M68:N68"/>
    <mergeCell ref="G65:H65"/>
    <mergeCell ref="A22:B22"/>
    <mergeCell ref="C28:E28"/>
    <mergeCell ref="C23:E23"/>
    <mergeCell ref="C22:E22"/>
    <mergeCell ref="G76:H76"/>
    <mergeCell ref="I76:J76"/>
    <mergeCell ref="K76:L76"/>
    <mergeCell ref="G67:H67"/>
    <mergeCell ref="I67:J67"/>
    <mergeCell ref="K67:L67"/>
    <mergeCell ref="G61:H61"/>
    <mergeCell ref="I61:J61"/>
    <mergeCell ref="K61:L61"/>
    <mergeCell ref="G57:H57"/>
    <mergeCell ref="I57:J57"/>
    <mergeCell ref="A70:B70"/>
    <mergeCell ref="C76:E76"/>
    <mergeCell ref="C71:E71"/>
    <mergeCell ref="I65:J65"/>
    <mergeCell ref="K65:L65"/>
    <mergeCell ref="G66:H66"/>
    <mergeCell ref="I66:J66"/>
    <mergeCell ref="K66:L66"/>
    <mergeCell ref="K57:L57"/>
    <mergeCell ref="G82:H82"/>
    <mergeCell ref="M82:N82"/>
    <mergeCell ref="K82:L82"/>
    <mergeCell ref="I82:J82"/>
    <mergeCell ref="M79:N79"/>
    <mergeCell ref="M81:N81"/>
    <mergeCell ref="K81:L81"/>
    <mergeCell ref="K79:L79"/>
    <mergeCell ref="I79:J79"/>
    <mergeCell ref="I81:J81"/>
    <mergeCell ref="G81:H81"/>
    <mergeCell ref="G79:H79"/>
    <mergeCell ref="G77:H77"/>
    <mergeCell ref="I77:J77"/>
    <mergeCell ref="K77:L77"/>
    <mergeCell ref="M77:N77"/>
    <mergeCell ref="G71:H71"/>
    <mergeCell ref="I71:J71"/>
    <mergeCell ref="K71:L71"/>
    <mergeCell ref="M71:N71"/>
    <mergeCell ref="M76:N76"/>
    <mergeCell ref="I72:J72"/>
    <mergeCell ref="M53:N53"/>
    <mergeCell ref="I54:J54"/>
    <mergeCell ref="K54:L54"/>
    <mergeCell ref="M54:N54"/>
    <mergeCell ref="G49:H49"/>
    <mergeCell ref="I49:J49"/>
    <mergeCell ref="K49:L49"/>
    <mergeCell ref="M49:N49"/>
    <mergeCell ref="M66:N66"/>
    <mergeCell ref="M61:N61"/>
    <mergeCell ref="G62:H62"/>
    <mergeCell ref="I62:J62"/>
    <mergeCell ref="K62:L62"/>
    <mergeCell ref="M62:N62"/>
    <mergeCell ref="I60:J60"/>
    <mergeCell ref="K60:L60"/>
    <mergeCell ref="M60:N60"/>
    <mergeCell ref="G64:H64"/>
    <mergeCell ref="I64:J64"/>
    <mergeCell ref="K64:L64"/>
    <mergeCell ref="M64:N64"/>
    <mergeCell ref="M65:N65"/>
    <mergeCell ref="M63:N63"/>
    <mergeCell ref="K34:L34"/>
    <mergeCell ref="M34:N34"/>
    <mergeCell ref="G35:H35"/>
    <mergeCell ref="I35:J35"/>
    <mergeCell ref="K35:L35"/>
    <mergeCell ref="M35:N35"/>
    <mergeCell ref="I46:J46"/>
    <mergeCell ref="K46:L46"/>
    <mergeCell ref="M46:N46"/>
    <mergeCell ref="M29:N29"/>
    <mergeCell ref="G45:H45"/>
    <mergeCell ref="I45:J45"/>
    <mergeCell ref="K45:L45"/>
    <mergeCell ref="M45:N45"/>
    <mergeCell ref="I38:J38"/>
    <mergeCell ref="K38:L38"/>
    <mergeCell ref="M38:N38"/>
    <mergeCell ref="G39:H39"/>
    <mergeCell ref="I39:J39"/>
    <mergeCell ref="K39:L39"/>
    <mergeCell ref="M39:N39"/>
    <mergeCell ref="G42:H42"/>
    <mergeCell ref="I42:J42"/>
    <mergeCell ref="K42:L42"/>
    <mergeCell ref="M42:N42"/>
    <mergeCell ref="G43:H43"/>
    <mergeCell ref="I43:J43"/>
    <mergeCell ref="M36:N36"/>
    <mergeCell ref="K43:L43"/>
    <mergeCell ref="M43:N43"/>
    <mergeCell ref="I34:J34"/>
    <mergeCell ref="K32:L32"/>
    <mergeCell ref="M32:N32"/>
    <mergeCell ref="K17:L17"/>
    <mergeCell ref="G24:H24"/>
    <mergeCell ref="G17:H17"/>
    <mergeCell ref="M17:N17"/>
    <mergeCell ref="M24:N24"/>
    <mergeCell ref="M23:N23"/>
    <mergeCell ref="M22:N22"/>
    <mergeCell ref="M21:N21"/>
    <mergeCell ref="M20:N20"/>
    <mergeCell ref="M19:N19"/>
    <mergeCell ref="K24:L24"/>
    <mergeCell ref="K19:L19"/>
    <mergeCell ref="K20:L20"/>
    <mergeCell ref="K21:L21"/>
    <mergeCell ref="K22:L22"/>
    <mergeCell ref="K23:L23"/>
    <mergeCell ref="G21:H21"/>
    <mergeCell ref="G22:H22"/>
    <mergeCell ref="G23:H23"/>
    <mergeCell ref="C13:G13"/>
    <mergeCell ref="G32:H32"/>
    <mergeCell ref="G36:H36"/>
    <mergeCell ref="C24:E24"/>
    <mergeCell ref="C25:E25"/>
    <mergeCell ref="C26:E26"/>
    <mergeCell ref="C27:E27"/>
    <mergeCell ref="G25:H25"/>
    <mergeCell ref="I19:J19"/>
    <mergeCell ref="I20:J20"/>
    <mergeCell ref="I21:J21"/>
    <mergeCell ref="I22:J22"/>
    <mergeCell ref="I23:J23"/>
    <mergeCell ref="I24:J24"/>
    <mergeCell ref="I17:J17"/>
    <mergeCell ref="G33:H33"/>
    <mergeCell ref="I33:J33"/>
    <mergeCell ref="G34:H34"/>
    <mergeCell ref="I32:J32"/>
    <mergeCell ref="I29:J29"/>
    <mergeCell ref="G29:H29"/>
    <mergeCell ref="I36:J36"/>
    <mergeCell ref="G19:H19"/>
    <mergeCell ref="G20:H20"/>
    <mergeCell ref="C32:E32"/>
    <mergeCell ref="C29:E29"/>
    <mergeCell ref="B31:E31"/>
    <mergeCell ref="A47:B47"/>
    <mergeCell ref="C44:E44"/>
    <mergeCell ref="G37:H37"/>
    <mergeCell ref="G44:H44"/>
    <mergeCell ref="G60:H60"/>
    <mergeCell ref="C59:E59"/>
    <mergeCell ref="C60:E60"/>
    <mergeCell ref="G46:H46"/>
    <mergeCell ref="G59:H59"/>
    <mergeCell ref="G54:H54"/>
    <mergeCell ref="C39:E39"/>
    <mergeCell ref="C38:E38"/>
    <mergeCell ref="C37:E37"/>
    <mergeCell ref="C36:E36"/>
    <mergeCell ref="C35:E35"/>
    <mergeCell ref="G38:H38"/>
    <mergeCell ref="C33:E33"/>
    <mergeCell ref="C34:E34"/>
    <mergeCell ref="C49:E49"/>
    <mergeCell ref="C50:E50"/>
    <mergeCell ref="C51:E51"/>
    <mergeCell ref="B41:E41"/>
    <mergeCell ref="B56:E56"/>
    <mergeCell ref="C54:E54"/>
    <mergeCell ref="C46:E46"/>
    <mergeCell ref="C45:E45"/>
    <mergeCell ref="C64:E64"/>
    <mergeCell ref="C42:E42"/>
    <mergeCell ref="C43:E43"/>
    <mergeCell ref="C62:E62"/>
    <mergeCell ref="C61:E61"/>
    <mergeCell ref="C53:E53"/>
    <mergeCell ref="C63:E63"/>
    <mergeCell ref="C58:E58"/>
    <mergeCell ref="C81:E81"/>
    <mergeCell ref="D79:E79"/>
    <mergeCell ref="D77:E77"/>
    <mergeCell ref="C48:E48"/>
    <mergeCell ref="C47:E47"/>
    <mergeCell ref="C68:E68"/>
    <mergeCell ref="C69:E69"/>
    <mergeCell ref="C57:E57"/>
    <mergeCell ref="C65:E65"/>
    <mergeCell ref="C66:E66"/>
    <mergeCell ref="C67:E67"/>
    <mergeCell ref="C52:E52"/>
    <mergeCell ref="I47:J47"/>
    <mergeCell ref="K47:L47"/>
    <mergeCell ref="M47:N47"/>
    <mergeCell ref="G48:H48"/>
    <mergeCell ref="M57:N57"/>
    <mergeCell ref="G58:H58"/>
    <mergeCell ref="I58:J58"/>
    <mergeCell ref="K58:L58"/>
    <mergeCell ref="M58:N58"/>
    <mergeCell ref="I48:J48"/>
    <mergeCell ref="K48:L48"/>
    <mergeCell ref="G50:H50"/>
    <mergeCell ref="G51:H51"/>
    <mergeCell ref="G52:H52"/>
    <mergeCell ref="I50:J50"/>
    <mergeCell ref="I51:J51"/>
    <mergeCell ref="I52:J52"/>
    <mergeCell ref="K50:L50"/>
    <mergeCell ref="K51:L51"/>
    <mergeCell ref="K52:L52"/>
    <mergeCell ref="M48:N48"/>
    <mergeCell ref="G53:H53"/>
    <mergeCell ref="I53:J53"/>
    <mergeCell ref="K53:L53"/>
    <mergeCell ref="I25:J25"/>
    <mergeCell ref="K25:L25"/>
    <mergeCell ref="M25:N25"/>
    <mergeCell ref="G26:H26"/>
    <mergeCell ref="I26:J26"/>
    <mergeCell ref="K26:L26"/>
    <mergeCell ref="M26:N26"/>
    <mergeCell ref="G27:H27"/>
    <mergeCell ref="I27:J27"/>
    <mergeCell ref="K27:L27"/>
    <mergeCell ref="M27:N27"/>
    <mergeCell ref="M33:N33"/>
    <mergeCell ref="K29:L29"/>
    <mergeCell ref="K36:L36"/>
    <mergeCell ref="I73:J73"/>
    <mergeCell ref="G28:H28"/>
    <mergeCell ref="I28:J28"/>
    <mergeCell ref="K28:L28"/>
    <mergeCell ref="M28:N28"/>
    <mergeCell ref="M50:N50"/>
    <mergeCell ref="M51:N51"/>
    <mergeCell ref="M52:N52"/>
    <mergeCell ref="I37:J37"/>
    <mergeCell ref="K37:L37"/>
    <mergeCell ref="M37:N37"/>
    <mergeCell ref="I59:J59"/>
    <mergeCell ref="K59:L59"/>
    <mergeCell ref="M59:N59"/>
    <mergeCell ref="I44:J44"/>
    <mergeCell ref="K44:L44"/>
    <mergeCell ref="M44:N44"/>
    <mergeCell ref="G63:H63"/>
    <mergeCell ref="I63:J63"/>
    <mergeCell ref="K63:L63"/>
    <mergeCell ref="G47:H47"/>
    <mergeCell ref="L1:N1"/>
    <mergeCell ref="M2:N2"/>
    <mergeCell ref="I4:N4"/>
    <mergeCell ref="C72:E72"/>
    <mergeCell ref="C73:E73"/>
    <mergeCell ref="C74:E74"/>
    <mergeCell ref="C75:E75"/>
    <mergeCell ref="E8:F10"/>
    <mergeCell ref="B9:C9"/>
    <mergeCell ref="M72:N72"/>
    <mergeCell ref="M73:N73"/>
    <mergeCell ref="M74:N74"/>
    <mergeCell ref="M75:N75"/>
    <mergeCell ref="G75:H75"/>
    <mergeCell ref="G74:H74"/>
    <mergeCell ref="G73:H73"/>
    <mergeCell ref="G72:H72"/>
    <mergeCell ref="K72:L72"/>
    <mergeCell ref="K73:L73"/>
    <mergeCell ref="K74:L74"/>
    <mergeCell ref="K75:L75"/>
    <mergeCell ref="I75:J75"/>
    <mergeCell ref="I74:J74"/>
    <mergeCell ref="K33:L33"/>
  </mergeCells>
  <phoneticPr fontId="0" type="noConversion"/>
  <conditionalFormatting sqref="I22:J28">
    <cfRule type="expression" dxfId="291" priority="51">
      <formula>D22&lt;&gt;""</formula>
    </cfRule>
  </conditionalFormatting>
  <conditionalFormatting sqref="G22:H28">
    <cfRule type="expression" dxfId="290" priority="50">
      <formula>D22&lt;&gt;""</formula>
    </cfRule>
  </conditionalFormatting>
  <conditionalFormatting sqref="K22:L28">
    <cfRule type="expression" dxfId="289" priority="49">
      <formula>D22&lt;&gt;""</formula>
    </cfRule>
  </conditionalFormatting>
  <conditionalFormatting sqref="E12:G12">
    <cfRule type="expression" dxfId="288" priority="42">
      <formula>$E$12="Input Total Housing Square Feet:"</formula>
    </cfRule>
  </conditionalFormatting>
  <conditionalFormatting sqref="I4">
    <cfRule type="expression" dxfId="287" priority="297">
      <formula>$I$4="Input the project name and AHP Project Number at the top of the 'Instructions' tab."</formula>
    </cfRule>
  </conditionalFormatting>
  <conditionalFormatting sqref="I70:J71 I76:J76 I72:I75">
    <cfRule type="expression" dxfId="286" priority="13">
      <formula>D70&lt;&gt;""</formula>
    </cfRule>
  </conditionalFormatting>
  <conditionalFormatting sqref="G70:H71 G72:G76">
    <cfRule type="expression" dxfId="285" priority="12">
      <formula>D70&lt;&gt;""</formula>
    </cfRule>
  </conditionalFormatting>
  <conditionalFormatting sqref="K70:L71 K76:L76 K72:K75">
    <cfRule type="expression" dxfId="284" priority="11">
      <formula>D70&lt;&gt;""</formula>
    </cfRule>
  </conditionalFormatting>
  <conditionalFormatting sqref="H13">
    <cfRule type="expression" dxfId="283" priority="6">
      <formula>$C$13=""</formula>
    </cfRule>
    <cfRule type="expression" dxfId="282" priority="10">
      <formula>$T$12="No"</formula>
    </cfRule>
  </conditionalFormatting>
  <conditionalFormatting sqref="C13">
    <cfRule type="expression" dxfId="281" priority="4">
      <formula>$C$13="Input Total Commercial Square Feet:"</formula>
    </cfRule>
  </conditionalFormatting>
  <conditionalFormatting sqref="C13:G13">
    <cfRule type="expression" dxfId="280" priority="3">
      <formula>$C$13="Commercial Space Not Indicated on Project Information Tab"</formula>
    </cfRule>
  </conditionalFormatting>
  <conditionalFormatting sqref="G66:H66">
    <cfRule type="expression" dxfId="279" priority="2">
      <formula>$V$66=1</formula>
    </cfRule>
  </conditionalFormatting>
  <conditionalFormatting sqref="H14">
    <cfRule type="expression" dxfId="278" priority="1">
      <formula>$C$13=""</formula>
    </cfRule>
  </conditionalFormatting>
  <dataValidations count="64">
    <dataValidation type="custom" allowBlank="1" showInputMessage="1" showErrorMessage="1" sqref="G86:G137">
      <formula1>MOD(100*G86:K125,1)=0</formula1>
    </dataValidation>
    <dataValidation type="custom" allowBlank="1" showInputMessage="1" showErrorMessage="1" sqref="G138:G1048441">
      <formula1>MOD(100*G86:K177,1)=0</formula1>
    </dataValidation>
    <dataValidation type="custom" allowBlank="1" showInputMessage="1" showErrorMessage="1" sqref="G80">
      <formula1>MOD(100*G80:K104,1)=0</formula1>
    </dataValidation>
    <dataValidation type="custom" allowBlank="1" showInputMessage="1" showErrorMessage="1" error="Values cannot exceed two decimals." sqref="G31">
      <formula1>G31:K33=INT(G31:K33*100)/100</formula1>
    </dataValidation>
    <dataValidation type="custom" allowBlank="1" showInputMessage="1" showErrorMessage="1" error="Values cannot exceed two decimals." sqref="H31">
      <formula1>H31:N33=INT(H31:N33*100)/100</formula1>
    </dataValidation>
    <dataValidation type="custom" allowBlank="1" showInputMessage="1" showErrorMessage="1" sqref="H86:H137">
      <formula1>MOD(100*H86:N125,1)=0</formula1>
    </dataValidation>
    <dataValidation type="custom" allowBlank="1" showInputMessage="1" showErrorMessage="1" sqref="H138:H1048441">
      <formula1>MOD(100*H86:N177,1)=0</formula1>
    </dataValidation>
    <dataValidation type="custom" allowBlank="1" showInputMessage="1" showErrorMessage="1" sqref="H80">
      <formula1>MOD(100*H80:N104,1)=0</formula1>
    </dataValidation>
    <dataValidation type="custom" allowBlank="1" showInputMessage="1" showErrorMessage="1" error="Value must be numeric and cannot exceed two decimals." sqref="G78:M78">
      <formula1>G78:G90=INT(G78:G90*100)/100</formula1>
    </dataValidation>
    <dataValidation type="whole" allowBlank="1" showInputMessage="1" showErrorMessage="1" error="A numeric value is required." sqref="H12">
      <formula1>0</formula1>
      <formula2>99999999999</formula2>
    </dataValidation>
    <dataValidation type="whole" allowBlank="1" showInputMessage="1" showErrorMessage="1" error="A numeric value is required." sqref="H13">
      <formula1>0</formula1>
      <formula2>9999999999</formula2>
    </dataValidation>
    <dataValidation type="custom" allowBlank="1" showInputMessage="1" showErrorMessage="1" sqref="N3 E8 C10 B8:C9 D9 G8:O8 G9:M9">
      <formula1>"&lt;0&gt;0"</formula1>
    </dataValidation>
    <dataValidation type="custom" allowBlank="1" showInputMessage="1" showErrorMessage="1" sqref="I86:I137">
      <formula1>MOD(100*I86:N125,1)=0</formula1>
    </dataValidation>
    <dataValidation type="custom" allowBlank="1" showInputMessage="1" showErrorMessage="1" sqref="I138:I1048441">
      <formula1>MOD(100*I86:N177,1)=0</formula1>
    </dataValidation>
    <dataValidation type="custom" allowBlank="1" showInputMessage="1" showErrorMessage="1" error="Values cannot exceed two decimals." sqref="J31">
      <formula1>J36:P38=INT(J36:P38*100)/100</formula1>
    </dataValidation>
    <dataValidation type="custom" allowBlank="1" showInputMessage="1" showErrorMessage="1" error="Values cannot exceed two decimals." sqref="I31">
      <formula1>I31:N33=INT(I31:N33*100)/100</formula1>
    </dataValidation>
    <dataValidation type="custom" allowBlank="1" showInputMessage="1" showErrorMessage="1" sqref="I80">
      <formula1>MOD(100*I80:N104,1)=0</formula1>
    </dataValidation>
    <dataValidation type="custom" showInputMessage="1" showErrorMessage="1" error="Possible Validations:_x000a__x000a_1. A value cannot be input prior to providing a description._x000a__x000a_2. Value must be numeric not exceeding two decimals." prompt="A description is required before an amount can be input." sqref="G23:L28 G47:G53 I47:I53 K47:K53 G70:G75 H70:H71">
      <formula1>IF($R23&lt;&gt;1,G23:H29=INT(G23:H29*100)/100)</formula1>
    </dataValidation>
    <dataValidation type="custom" allowBlank="1" showInputMessage="1" showErrorMessage="1" sqref="J86:J137">
      <formula1>MOD(100*J96:P135,1)=0</formula1>
    </dataValidation>
    <dataValidation type="custom" allowBlank="1" showInputMessage="1" showErrorMessage="1" sqref="J138:J1048441">
      <formula1>MOD(100*J96:P187,1)=0</formula1>
    </dataValidation>
    <dataValidation type="custom" allowBlank="1" showInputMessage="1" showErrorMessage="1" sqref="J80">
      <formula1>MOD(100*J90:P114,1)=0</formula1>
    </dataValidation>
    <dataValidation type="custom" allowBlank="1" showInputMessage="1" showErrorMessage="1" error="Value must be numeric._x000a__x000a_If capitalized operating reserves are on the Rental ProForma, operating reserves may not be listed on the Uses Statement." prompt="Note: If capitalized operating reserves are on the Uses Statement, operating reserves may not be listed on the Rental Operating ProForma." sqref="G66:H66">
      <formula1>IF(V66&lt;&gt;1,1,0)</formula1>
    </dataValidation>
    <dataValidation type="custom" showInputMessage="1" showErrorMessage="1" error="Possible Validations:_x000a__x000a_1. A value cannot be input prior to providing a description._x000a__x000a_2. Value must be numeric not exceeding two decimals." prompt="A description is required before an amount can be input." sqref="G22:L22 G76:H76">
      <formula1>IF($R22&lt;&gt;1,G22:H24=INT(G22:H24*100)/100)</formula1>
    </dataValidation>
    <dataValidation type="custom" allowBlank="1" showInputMessage="1" showErrorMessage="1" sqref="G1048574:J1048576">
      <formula1>MOD(100*G134:K1048522,1)=0</formula1>
    </dataValidation>
    <dataValidation type="custom" allowBlank="1" showInputMessage="1" showErrorMessage="1" error="Value must be numeric and cannot exceed two decimals." sqref="K43:K44 G43:G44 I43:I44">
      <formula1>G43:G54=INT(G43:G54*100)/100</formula1>
    </dataValidation>
    <dataValidation type="custom" allowBlank="1" showInputMessage="1" showErrorMessage="1" error="Value must be numeric and cannot exceed two decimals." sqref="K42 G42 I42">
      <formula1>G42:G49=INT(G42:G49*100)/100</formula1>
    </dataValidation>
    <dataValidation type="custom" allowBlank="1" showInputMessage="1" showErrorMessage="1" sqref="G83">
      <formula1>MOD(100*G17:K85,1)=0</formula1>
    </dataValidation>
    <dataValidation type="custom" allowBlank="1" showInputMessage="1" showErrorMessage="1" sqref="G84">
      <formula1>MOD(100*G17:K85,1)=0</formula1>
    </dataValidation>
    <dataValidation type="custom" allowBlank="1" showInputMessage="1" showErrorMessage="1" sqref="G85">
      <formula1>MOD(100*G17:K86,1)=0</formula1>
    </dataValidation>
    <dataValidation type="custom" allowBlank="1" showInputMessage="1" showErrorMessage="1" sqref="H83">
      <formula1>MOD(100*H17:N85,1)=0</formula1>
    </dataValidation>
    <dataValidation type="custom" allowBlank="1" showInputMessage="1" showErrorMessage="1" sqref="H84">
      <formula1>MOD(100*H17:N85,1)=0</formula1>
    </dataValidation>
    <dataValidation type="custom" allowBlank="1" showInputMessage="1" showErrorMessage="1" sqref="H85">
      <formula1>MOD(100*H17:N86,1)=0</formula1>
    </dataValidation>
    <dataValidation type="custom" allowBlank="1" showInputMessage="1" showErrorMessage="1" sqref="J83">
      <formula1>MOD(100*J17:P95,1)=0</formula1>
    </dataValidation>
    <dataValidation type="custom" allowBlank="1" showInputMessage="1" showErrorMessage="1" sqref="I83">
      <formula1>MOD(100*I17:N85,1)=0</formula1>
    </dataValidation>
    <dataValidation type="custom" allowBlank="1" showInputMessage="1" showErrorMessage="1" sqref="J84">
      <formula1>MOD(100*J17:P95,1)=0</formula1>
    </dataValidation>
    <dataValidation type="custom" allowBlank="1" showInputMessage="1" showErrorMessage="1" sqref="I84">
      <formula1>MOD(100*I17:N85,1)=0</formula1>
    </dataValidation>
    <dataValidation type="custom" allowBlank="1" showInputMessage="1" showErrorMessage="1" sqref="J85">
      <formula1>MOD(100*J17:P96,1)=0</formula1>
    </dataValidation>
    <dataValidation type="custom" allowBlank="1" showInputMessage="1" showErrorMessage="1" sqref="I85">
      <formula1>MOD(100*I17:N86,1)=0</formula1>
    </dataValidation>
    <dataValidation type="custom" allowBlank="1" showInputMessage="1" showErrorMessage="1" error="Values cannot exceed two decimals." sqref="K31:M31">
      <formula1>K36:P38=INT(K36:P38*100)/100</formula1>
    </dataValidation>
    <dataValidation type="custom" allowBlank="1" showInputMessage="1" showErrorMessage="1" sqref="K184:M1048442">
      <formula1>MOD(100*K96:Q232,1)=0</formula1>
    </dataValidation>
    <dataValidation type="custom" allowBlank="1" showInputMessage="1" showErrorMessage="1" sqref="K86:M122">
      <formula1>MOD(100*K90:Q134,1)=0</formula1>
    </dataValidation>
    <dataValidation type="custom" allowBlank="1" showInputMessage="1" showErrorMessage="1" sqref="K123:M183">
      <formula1>MOD(100*K90:Q171,1)=0</formula1>
    </dataValidation>
    <dataValidation type="custom" allowBlank="1" showInputMessage="1" showErrorMessage="1" sqref="K80:M80">
      <formula1>MOD(100*K90:R113,1)=0</formula1>
    </dataValidation>
    <dataValidation type="custom" allowBlank="1" showInputMessage="1" showErrorMessage="1" sqref="K1048574:M1048576">
      <formula1>MOD(100*K140:Q1048486,1)=0</formula1>
    </dataValidation>
    <dataValidation type="custom" allowBlank="1" showInputMessage="1" showErrorMessage="1" sqref="K85:M85">
      <formula1>MOD(100*K48:Q95,1)=0</formula1>
    </dataValidation>
    <dataValidation type="custom" allowBlank="1" showInputMessage="1" showErrorMessage="1" sqref="K83:M84">
      <formula1>MOD(100*K13:Q95,1)=0</formula1>
    </dataValidation>
    <dataValidation type="decimal" allowBlank="1" showInputMessage="1" showErrorMessage="1" error="Value must be numeric and cannot exceed two decimals." prompt="If real estate tax is shown here but not on the Operating Pro Forma (Attachment C), provide an explanation with this workbook." sqref="G57:H65 G67:H69">
      <formula1>0</formula1>
      <formula2>99999999999999900</formula2>
    </dataValidation>
    <dataValidation type="custom" allowBlank="1" showInputMessage="1" showErrorMessage="1" error="Value must be numeric and cannot exceed two decimals." sqref="G19:L21">
      <formula1>G19:L21=INT(G19:L21*100)/100</formula1>
    </dataValidation>
    <dataValidation type="custom" allowBlank="1" showInputMessage="1" showErrorMessage="1" error="Value must be numeric and cannot exceed two decimals." sqref="G45:L46">
      <formula1>G45:L46=INT(G45:L46*100)/100</formula1>
    </dataValidation>
    <dataValidation type="custom" allowBlank="1" showInputMessage="1" showErrorMessage="1" sqref="H14">
      <formula1>MOD(100*P62:R1048576,1)=0</formula1>
    </dataValidation>
    <dataValidation type="custom" allowBlank="1" showInputMessage="1" showErrorMessage="1" sqref="G17">
      <formula1>MOD(100*G81:K1048576,1)=0</formula1>
    </dataValidation>
    <dataValidation type="custom" allowBlank="1" showInputMessage="1" showErrorMessage="1" sqref="K17">
      <formula1>MOD(100*K91:P1048576,1)=0</formula1>
    </dataValidation>
    <dataValidation type="custom" allowBlank="1" showInputMessage="1" showErrorMessage="1" sqref="I17">
      <formula1>MOD(100*I81:N1048576,1)=0</formula1>
    </dataValidation>
    <dataValidation type="custom" allowBlank="1" showInputMessage="1" showErrorMessage="1" sqref="U4:W4">
      <formula1>MOD(100*N91:Q1048576,1)=0</formula1>
    </dataValidation>
    <dataValidation type="custom" allowBlank="1" showInputMessage="1" showErrorMessage="1" error="Value must be numeric and cannot exceed two decimals." sqref="G32:L38">
      <formula1>G32:L38=INT(G32:L38*100)/100</formula1>
    </dataValidation>
    <dataValidation type="custom" allowBlank="1" showInputMessage="1" showErrorMessage="1" sqref="G55">
      <formula1>MOD(100*G6:K86,1)=0</formula1>
    </dataValidation>
    <dataValidation type="custom" allowBlank="1" showInputMessage="1" showErrorMessage="1" sqref="K55:M55">
      <formula1>MOD(100*K6:P96,1)=0</formula1>
    </dataValidation>
    <dataValidation type="custom" allowBlank="1" showInputMessage="1" showErrorMessage="1" sqref="K1048443:M1048573">
      <formula1>MOD(100*K4:Q1048355,1)=0</formula1>
    </dataValidation>
    <dataValidation type="custom" allowBlank="1" showInputMessage="1" showErrorMessage="1" sqref="J55">
      <formula1>MOD(100*J6:P96,1)=0</formula1>
    </dataValidation>
    <dataValidation type="custom" allowBlank="1" showInputMessage="1" showErrorMessage="1" sqref="I55">
      <formula1>MOD(100*I6:N86,1)=0</formula1>
    </dataValidation>
    <dataValidation type="custom" allowBlank="1" showInputMessage="1" showErrorMessage="1" sqref="H55">
      <formula1>MOD(100*H6:N86,1)=0</formula1>
    </dataValidation>
    <dataValidation type="custom" allowBlank="1" showInputMessage="1" showErrorMessage="1" sqref="G1048442:J1048573">
      <formula1>MOD(100*G4:K1048390,1)=0</formula1>
    </dataValidation>
    <dataValidation type="decimal" allowBlank="1" showInputMessage="1" showErrorMessage="1" error="Value must be numeric." sqref="I57:J76">
      <formula1>0</formula1>
      <formula2>99999999999999</formula2>
    </dataValidation>
    <dataValidation type="decimal" allowBlank="1" showInputMessage="1" showErrorMessage="1" error="Value must be numeric." sqref="K57:L76">
      <formula1>0</formula1>
      <formula2>999999999999999000000</formula2>
    </dataValidation>
  </dataValidations>
  <hyperlinks>
    <hyperlink ref="D9" location="'A(1)-Sources Stmt.'!D19" display="'A(1)-Sources Stmt.'!D19"/>
    <hyperlink ref="M9" location="'Validation Warnings'!M9" display="'Validation Warnings'!M9"/>
    <hyperlink ref="G9" location="'B-Rent Schedule'!D13" display="'B-Rent Schedule'!D13"/>
    <hyperlink ref="H9" location="'C(1)-Rental Operating ProForma'!L16" display="'C(1)-Rental Operating ProForma'!L16"/>
    <hyperlink ref="I9" location="'C(2)-Commercial ProForma'!K16" display="'C(2)-Commercial ProForma'!K16"/>
    <hyperlink ref="L9" location="'F-TIV'!Q17" display="'F-TIV'!Q17"/>
    <hyperlink ref="J9" location="'E-Feasibility Analysis'!M22" display="'E-Feasibility Analysis'!M22"/>
    <hyperlink ref="B9" display="Project Info. &amp; Instructions"/>
    <hyperlink ref="B9:C9" location="'Project Info and Instructions'!F16" display="Project Info. &amp; Instructions"/>
    <hyperlink ref="K9" location="'E(2)-Sources &amp; Uses Analysis'!G19" display="Sources &amp; Uses Analysis"/>
  </hyperlinks>
  <printOptions horizontalCentered="1"/>
  <pageMargins left="0.25" right="0.25" top="0.56999999999999995" bottom="0.5" header="0.3" footer="0.5"/>
  <pageSetup scale="58" orientation="portrait" r:id="rId1"/>
  <headerFooter alignWithMargins="0">
    <oddFooter>Page &amp;P of &amp;N</oddFooter>
  </headerFooter>
  <drawing r:id="rId2"/>
  <extLst>
    <ext xmlns:x14="http://schemas.microsoft.com/office/spreadsheetml/2009/9/main" uri="{78C0D931-6437-407d-A8EE-F0AAD7539E65}">
      <x14:conditionalFormattings>
        <x14:conditionalFormatting xmlns:xm="http://schemas.microsoft.com/office/excel/2006/main">
          <x14:cfRule type="expression" priority="230" id="{0DEE6F53-4BCE-47E4-B162-89F20F1947CC}">
            <xm:f>$M$81&lt;&gt;'A(1)-Sources Stmt.'!$F$50</xm:f>
            <x14:dxf>
              <fill>
                <patternFill>
                  <bgColor theme="5" tint="0.79998168889431442"/>
                </patternFill>
              </fill>
              <border>
                <left style="thin">
                  <color rgb="FFFF0000"/>
                </left>
                <right style="thin">
                  <color rgb="FFFF0000"/>
                </right>
                <top style="thin">
                  <color rgb="FFFF0000"/>
                </top>
                <bottom style="thin">
                  <color rgb="FFFF0000"/>
                </bottom>
                <vertical/>
                <horizontal/>
              </border>
            </x14:dxf>
          </x14:cfRule>
          <xm:sqref>M81:N81</xm:sqref>
        </x14:conditionalFormatting>
        <x14:conditionalFormatting xmlns:xm="http://schemas.microsoft.com/office/excel/2006/main">
          <x14:cfRule type="expression" priority="1259" id="{73AC2A1A-1236-4A59-9B86-4FA0481D5AB7}">
            <xm:f>'Project Info and Instructions'!$F$20="Owner-occupied"</xm:f>
            <x14:dxf>
              <font>
                <strike/>
                <color theme="0" tint="-0.34998626667073579"/>
              </font>
              <fill>
                <gradientFill degree="90">
                  <stop position="0">
                    <color theme="0" tint="-0.1490218817712943"/>
                  </stop>
                  <stop position="1">
                    <color theme="0" tint="-0.1490218817712943"/>
                  </stop>
                </gradientFill>
              </fill>
            </x14:dxf>
          </x14:cfRule>
          <xm:sqref>H9</xm:sqref>
        </x14:conditionalFormatting>
        <x14:conditionalFormatting xmlns:xm="http://schemas.microsoft.com/office/excel/2006/main">
          <x14:cfRule type="expression" priority="1262" id="{25D97C3C-D35E-4AFE-8DA2-D27D96265965}">
            <xm:f>'Project Info and Instructions'!$F$22="No"</xm:f>
            <x14:dxf>
              <font>
                <strike/>
                <color theme="0" tint="-0.34998626667073579"/>
              </font>
              <fill>
                <patternFill>
                  <bgColor theme="0" tint="-0.14996795556505021"/>
                </patternFill>
              </fill>
            </x14:dxf>
          </x14:cfRule>
          <x14:cfRule type="expression" priority="1263" id="{2A4D8029-1397-4790-AEE3-C688980803B4}">
            <xm:f>'Project Info and Instructions'!$F$20="Owner-occupied"</xm:f>
            <x14:dxf>
              <font>
                <strike/>
                <color theme="0" tint="-0.34998626667073579"/>
              </font>
              <fill>
                <patternFill>
                  <bgColor theme="0" tint="-0.14996795556505021"/>
                </patternFill>
              </fill>
            </x14:dxf>
          </x14:cfRule>
          <xm:sqref>I9</xm:sqref>
        </x14:conditionalFormatting>
        <x14:conditionalFormatting xmlns:xm="http://schemas.microsoft.com/office/excel/2006/main">
          <x14:cfRule type="expression" priority="1611" id="{429A6640-E32F-424B-900A-2E6CAF0E0157}">
            <xm:f>'Project Info and Instructions'!$V$50&gt;6</xm:f>
            <x14:dxf>
              <font>
                <strike/>
                <color theme="0" tint="-0.34998626667073579"/>
              </font>
              <fill>
                <gradientFill degree="90">
                  <stop position="0">
                    <color theme="0" tint="-0.1490218817712943"/>
                  </stop>
                  <stop position="1">
                    <color theme="0" tint="-0.1490218817712943"/>
                  </stop>
                </gradientFill>
              </fill>
            </x14:dxf>
          </x14:cfRule>
          <xm:sqref>G9</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S56"/>
  <sheetViews>
    <sheetView showGridLines="0" zoomScale="90" zoomScaleNormal="90" zoomScaleSheetLayoutView="100" workbookViewId="0">
      <selection activeCell="O23" sqref="O23:P23"/>
    </sheetView>
  </sheetViews>
  <sheetFormatPr defaultColWidth="9.140625" defaultRowHeight="12.75"/>
  <cols>
    <col min="1" max="1" width="2" style="15" customWidth="1"/>
    <col min="2" max="2" width="4.5703125" style="15" customWidth="1"/>
    <col min="3" max="3" width="5.7109375" style="15" customWidth="1"/>
    <col min="4" max="4" width="8.7109375" style="15" customWidth="1"/>
    <col min="5" max="5" width="10.140625" style="15" bestFit="1" customWidth="1"/>
    <col min="6" max="7" width="5.85546875" style="15" customWidth="1"/>
    <col min="8" max="8" width="10.7109375" style="15" customWidth="1"/>
    <col min="9" max="9" width="12.42578125" style="15" customWidth="1"/>
    <col min="10" max="10" width="12" style="15" customWidth="1"/>
    <col min="11" max="11" width="14.28515625" style="15" customWidth="1"/>
    <col min="12" max="12" width="16" style="15" customWidth="1"/>
    <col min="13" max="13" width="14.42578125" style="15" customWidth="1"/>
    <col min="14" max="14" width="13.85546875" style="15" customWidth="1"/>
    <col min="15" max="15" width="14.7109375" style="15" customWidth="1"/>
    <col min="16" max="16" width="13.5703125" style="15" customWidth="1"/>
    <col min="17" max="17" width="22.5703125" style="15" bestFit="1" customWidth="1"/>
    <col min="18" max="19" width="11.140625" style="800" hidden="1" customWidth="1"/>
    <col min="20" max="24" width="9.7109375" style="800" hidden="1" customWidth="1"/>
    <col min="25" max="26" width="3.42578125" style="800" hidden="1" customWidth="1"/>
    <col min="27" max="27" width="13" style="800" hidden="1" customWidth="1"/>
    <col min="28" max="29" width="22.42578125" style="800" hidden="1" customWidth="1"/>
    <col min="30" max="30" width="13.7109375" style="800" hidden="1" customWidth="1"/>
    <col min="31" max="31" width="23.42578125" style="800" hidden="1" customWidth="1"/>
    <col min="32" max="32" width="18.7109375" style="800" hidden="1" customWidth="1"/>
    <col min="33" max="33" width="9.7109375" style="800" hidden="1" customWidth="1"/>
    <col min="34" max="34" width="13.7109375" style="800" hidden="1" customWidth="1"/>
    <col min="35" max="35" width="17.42578125" style="800" hidden="1" customWidth="1"/>
    <col min="36" max="39" width="9.140625" style="800" customWidth="1"/>
    <col min="40" max="43" width="9.140625" style="15" customWidth="1"/>
    <col min="44" max="16384" width="9.140625" style="15"/>
  </cols>
  <sheetData>
    <row r="1" spans="1:45" ht="15" customHeight="1">
      <c r="K1" s="1915" t="s">
        <v>791</v>
      </c>
      <c r="L1" s="1915"/>
      <c r="M1" s="1915"/>
      <c r="N1" s="1915"/>
      <c r="O1" s="1915"/>
      <c r="P1" s="1915"/>
    </row>
    <row r="2" spans="1:45" ht="13.5" customHeight="1">
      <c r="N2" s="1916" t="s">
        <v>1161</v>
      </c>
      <c r="O2" s="1916"/>
      <c r="P2" s="1916"/>
    </row>
    <row r="3" spans="1:45" ht="6.75" customHeight="1">
      <c r="O3" s="1827"/>
      <c r="P3" s="1827"/>
    </row>
    <row r="4" spans="1:45" ht="15" customHeight="1">
      <c r="I4" s="1919" t="str">
        <f>IF('Project Info and Instructions'!W35&gt;0,"Input the project name and AHP Project Number at the top of the 'Instructions' tab.",'Project Info and Instructions'!F18&amp;" - "&amp;'Project Info and Instructions'!F16)</f>
        <v>Input the project name and AHP Project Number at the top of the 'Instructions' tab.</v>
      </c>
      <c r="J4" s="1919"/>
      <c r="K4" s="1919"/>
      <c r="L4" s="1919"/>
      <c r="M4" s="1919"/>
      <c r="N4" s="1919"/>
      <c r="O4" s="1919"/>
      <c r="P4" s="1919"/>
    </row>
    <row r="5" spans="1:45" ht="7.5" customHeight="1">
      <c r="D5" s="7"/>
      <c r="E5" s="7"/>
      <c r="F5" s="7"/>
      <c r="G5" s="7"/>
      <c r="H5" s="7"/>
      <c r="I5" s="7"/>
      <c r="J5" s="7"/>
      <c r="K5" s="450"/>
      <c r="L5" s="450"/>
      <c r="M5" s="450"/>
      <c r="Y5" s="39"/>
      <c r="Z5" s="39"/>
      <c r="AA5" s="39"/>
      <c r="AB5" s="39"/>
      <c r="AC5" s="39"/>
      <c r="AD5" s="39"/>
      <c r="AE5" s="39"/>
      <c r="AF5" s="39"/>
      <c r="AG5" s="39"/>
      <c r="AH5" s="39"/>
      <c r="AI5" s="39"/>
      <c r="AJ5" s="39"/>
      <c r="AK5" s="39"/>
      <c r="AL5" s="39"/>
      <c r="AM5" s="39"/>
      <c r="AN5" s="7"/>
      <c r="AO5" s="7"/>
      <c r="AP5" s="7"/>
      <c r="AQ5" s="7"/>
      <c r="AR5" s="7"/>
      <c r="AS5" s="7"/>
    </row>
    <row r="6" spans="1:45" ht="30.75" customHeight="1">
      <c r="E6" s="170"/>
      <c r="F6" s="170"/>
      <c r="G6" s="170"/>
      <c r="H6" s="170"/>
      <c r="I6" s="170"/>
      <c r="J6" s="170"/>
      <c r="K6" s="170"/>
      <c r="L6" s="170"/>
      <c r="M6" s="170"/>
      <c r="U6" s="1918">
        <f>'Project Info and Instructions'!$G$16</f>
        <v>0</v>
      </c>
      <c r="V6" s="1918"/>
      <c r="W6" s="1918"/>
      <c r="X6" s="1918"/>
      <c r="Y6" s="39"/>
      <c r="Z6" s="39"/>
      <c r="AA6" s="39"/>
      <c r="AB6" s="39"/>
      <c r="AC6" s="39"/>
      <c r="AD6" s="39"/>
      <c r="AE6" s="39"/>
      <c r="AF6" s="39"/>
      <c r="AG6" s="39"/>
      <c r="AH6" s="39"/>
      <c r="AI6" s="39"/>
      <c r="AJ6" s="39"/>
      <c r="AK6" s="39"/>
      <c r="AL6" s="39"/>
      <c r="AM6" s="39"/>
      <c r="AN6" s="7"/>
      <c r="AO6" s="7"/>
      <c r="AP6" s="7"/>
      <c r="AQ6" s="7"/>
      <c r="AR6" s="7"/>
      <c r="AS6" s="7"/>
    </row>
    <row r="7" spans="1:45" ht="7.5" customHeight="1">
      <c r="N7" s="170"/>
      <c r="O7" s="170"/>
      <c r="P7" s="170"/>
      <c r="U7" s="1917">
        <f>'Project Info and Instructions'!$G$18</f>
        <v>0</v>
      </c>
      <c r="V7" s="1917"/>
      <c r="W7" s="1917"/>
      <c r="X7" s="1917"/>
      <c r="Y7" s="39"/>
      <c r="Z7" s="39"/>
      <c r="AA7" s="39"/>
      <c r="AB7" s="39"/>
      <c r="AC7" s="39"/>
      <c r="AD7" s="39"/>
      <c r="AE7" s="39"/>
      <c r="AF7" s="39"/>
      <c r="AG7" s="39"/>
      <c r="AH7" s="39"/>
      <c r="AI7" s="39"/>
      <c r="AJ7" s="39"/>
      <c r="AK7" s="39"/>
      <c r="AL7" s="39"/>
      <c r="AM7" s="39"/>
      <c r="AN7" s="7"/>
      <c r="AO7" s="7"/>
      <c r="AP7" s="7"/>
      <c r="AQ7" s="7"/>
      <c r="AR7" s="7"/>
      <c r="AS7" s="7"/>
    </row>
    <row r="8" spans="1:45" s="76" customFormat="1" ht="3.75" customHeight="1">
      <c r="C8" s="489"/>
      <c r="D8" s="2"/>
      <c r="E8" s="490"/>
      <c r="G8" s="648"/>
      <c r="H8" s="1906" t="s">
        <v>851</v>
      </c>
      <c r="I8" s="491"/>
      <c r="J8" s="2"/>
      <c r="K8" s="2"/>
      <c r="L8" s="2"/>
      <c r="M8" s="2"/>
      <c r="N8" s="2"/>
      <c r="O8" s="492"/>
      <c r="P8" s="210"/>
      <c r="Q8" s="17"/>
      <c r="R8" s="82"/>
      <c r="S8" s="82"/>
      <c r="T8" s="82"/>
      <c r="U8" s="82"/>
      <c r="V8" s="82"/>
      <c r="W8" s="82"/>
      <c r="X8" s="82"/>
      <c r="Y8" s="1265"/>
      <c r="Z8" s="1265"/>
      <c r="AA8" s="1265"/>
      <c r="AB8" s="1265"/>
      <c r="AC8" s="1265"/>
      <c r="AD8" s="1265"/>
      <c r="AE8" s="1265"/>
      <c r="AF8" s="1265"/>
      <c r="AG8" s="1265"/>
      <c r="AH8" s="1265"/>
      <c r="AI8" s="1265"/>
      <c r="AJ8" s="1265"/>
      <c r="AK8" s="1265"/>
      <c r="AL8" s="1265"/>
      <c r="AM8" s="1265"/>
      <c r="AN8" s="17"/>
      <c r="AO8" s="17"/>
      <c r="AP8" s="17"/>
      <c r="AQ8" s="17"/>
      <c r="AR8" s="17"/>
      <c r="AS8" s="17"/>
    </row>
    <row r="9" spans="1:45" s="76" customFormat="1" ht="36.75" customHeight="1">
      <c r="B9" s="1824" t="s">
        <v>937</v>
      </c>
      <c r="C9" s="1824"/>
      <c r="D9" s="1774"/>
      <c r="E9" s="804" t="s">
        <v>838</v>
      </c>
      <c r="F9" s="1773" t="s">
        <v>832</v>
      </c>
      <c r="G9" s="1908"/>
      <c r="H9" s="1907"/>
      <c r="I9" s="806" t="s">
        <v>833</v>
      </c>
      <c r="J9" s="805" t="s">
        <v>852</v>
      </c>
      <c r="K9" s="804" t="s">
        <v>834</v>
      </c>
      <c r="L9" s="804" t="s">
        <v>839</v>
      </c>
      <c r="M9" s="804" t="s">
        <v>836</v>
      </c>
      <c r="N9" s="805" t="s">
        <v>853</v>
      </c>
      <c r="O9" s="493" t="s">
        <v>837</v>
      </c>
      <c r="P9" s="910" t="s">
        <v>855</v>
      </c>
      <c r="Q9" s="211"/>
      <c r="R9" s="82"/>
      <c r="S9" s="82"/>
      <c r="T9" s="82"/>
      <c r="U9" s="82"/>
      <c r="V9" s="82"/>
      <c r="W9" s="82"/>
      <c r="X9" s="82"/>
      <c r="Y9" s="1265"/>
      <c r="Z9" s="1265"/>
      <c r="AA9" s="1265"/>
      <c r="AB9" s="1265"/>
      <c r="AC9" s="1265"/>
      <c r="AD9" s="1265"/>
      <c r="AE9" s="1265"/>
      <c r="AF9" s="1265"/>
      <c r="AG9" s="1265"/>
      <c r="AH9" s="1265"/>
      <c r="AI9" s="1265"/>
      <c r="AJ9" s="1265"/>
      <c r="AK9" s="1265"/>
      <c r="AL9" s="1265"/>
      <c r="AM9" s="1265"/>
      <c r="AN9" s="17"/>
      <c r="AO9" s="17"/>
      <c r="AP9" s="17"/>
      <c r="AQ9" s="17"/>
      <c r="AR9" s="17"/>
      <c r="AS9" s="17"/>
    </row>
    <row r="10" spans="1:45" ht="3" customHeight="1">
      <c r="B10" s="135"/>
      <c r="C10" s="212"/>
      <c r="D10" s="212"/>
      <c r="E10" s="212"/>
      <c r="F10" s="135"/>
      <c r="G10" s="656"/>
      <c r="H10" s="1907"/>
      <c r="I10" s="212"/>
      <c r="J10" s="214"/>
      <c r="K10" s="214"/>
      <c r="L10" s="214"/>
      <c r="M10" s="214"/>
      <c r="N10" s="214"/>
      <c r="O10" s="214"/>
      <c r="P10" s="215"/>
      <c r="Q10" s="7"/>
    </row>
    <row r="11" spans="1:45" s="956" customFormat="1" ht="21.75" customHeight="1">
      <c r="D11" s="1905" t="str">
        <f>IF('A(2)-Uses Statement'!U13="Select Project Type","A project type must be selected before completing this worksheet.","")</f>
        <v/>
      </c>
      <c r="E11" s="1905"/>
      <c r="F11" s="1905"/>
      <c r="G11" s="1905"/>
      <c r="H11" s="1905"/>
      <c r="I11" s="1905"/>
      <c r="J11" s="1905"/>
      <c r="K11" s="1905"/>
      <c r="L11" s="1905"/>
      <c r="M11" s="1905"/>
      <c r="N11" s="1905"/>
      <c r="O11" s="1905"/>
      <c r="P11" s="57"/>
      <c r="Q11" s="15"/>
      <c r="R11" s="800"/>
      <c r="S11" s="800"/>
      <c r="T11" s="800"/>
      <c r="U11" s="800"/>
      <c r="V11" s="800"/>
      <c r="W11" s="1266"/>
      <c r="X11" s="1266"/>
      <c r="Y11" s="39"/>
      <c r="Z11" s="800"/>
      <c r="AA11" s="800"/>
      <c r="AB11" s="800"/>
      <c r="AC11" s="800"/>
      <c r="AD11" s="800"/>
      <c r="AE11" s="800"/>
      <c r="AF11" s="800"/>
      <c r="AG11" s="800"/>
      <c r="AH11" s="800"/>
      <c r="AI11" s="800"/>
      <c r="AJ11" s="800"/>
      <c r="AK11" s="39"/>
      <c r="AL11" s="39"/>
      <c r="AM11" s="39"/>
      <c r="AN11" s="955"/>
      <c r="AO11" s="955"/>
      <c r="AP11" s="955"/>
      <c r="AQ11" s="955"/>
      <c r="AR11" s="955"/>
      <c r="AS11" s="955"/>
    </row>
    <row r="12" spans="1:45" s="956" customFormat="1" ht="3" customHeight="1">
      <c r="R12" s="800"/>
      <c r="S12" s="800"/>
      <c r="T12" s="800"/>
      <c r="U12" s="1266"/>
      <c r="V12" s="1266"/>
      <c r="W12" s="1266"/>
      <c r="X12" s="1266"/>
      <c r="Y12" s="800"/>
      <c r="Z12" s="800"/>
      <c r="AA12" s="800"/>
      <c r="AB12" s="800"/>
      <c r="AC12" s="800"/>
      <c r="AD12" s="800"/>
      <c r="AE12" s="800"/>
      <c r="AF12" s="800"/>
      <c r="AG12" s="800"/>
      <c r="AH12" s="800"/>
      <c r="AI12" s="800"/>
      <c r="AJ12" s="800"/>
      <c r="AK12" s="39"/>
      <c r="AL12" s="39"/>
      <c r="AM12" s="39"/>
      <c r="AN12" s="955"/>
      <c r="AO12" s="955"/>
      <c r="AP12" s="955"/>
      <c r="AQ12" s="955"/>
      <c r="AR12" s="955"/>
      <c r="AS12" s="955"/>
    </row>
    <row r="13" spans="1:45" s="956" customFormat="1" ht="15.75" customHeight="1">
      <c r="A13" s="1909" t="s">
        <v>672</v>
      </c>
      <c r="B13" s="1909"/>
      <c r="C13" s="1909"/>
      <c r="D13" s="1909"/>
      <c r="E13" s="1909"/>
      <c r="F13" s="1909"/>
      <c r="G13" s="1909"/>
      <c r="H13" s="1909"/>
      <c r="I13" s="1909"/>
      <c r="J13" s="1224"/>
      <c r="K13" s="1224"/>
      <c r="L13" s="1224"/>
      <c r="M13" s="1224"/>
      <c r="N13" s="1224"/>
      <c r="O13" s="1224"/>
      <c r="P13" s="1224"/>
      <c r="R13" s="800"/>
      <c r="S13" s="800"/>
      <c r="T13" s="1266"/>
      <c r="U13" s="800"/>
      <c r="V13" s="800"/>
      <c r="W13" s="800"/>
      <c r="X13" s="800"/>
      <c r="Y13" s="800"/>
      <c r="Z13" s="800"/>
      <c r="AA13" s="800"/>
      <c r="AB13" s="800"/>
      <c r="AC13" s="800"/>
      <c r="AD13" s="800"/>
      <c r="AE13" s="800">
        <f>IF(J29="Yes",1,0)</f>
        <v>0</v>
      </c>
      <c r="AF13" s="800" t="s">
        <v>1110</v>
      </c>
      <c r="AG13" s="800" t="s">
        <v>1136</v>
      </c>
      <c r="AH13" s="800"/>
      <c r="AI13" s="800"/>
      <c r="AJ13" s="800"/>
      <c r="AK13" s="39"/>
      <c r="AL13" s="39"/>
      <c r="AM13" s="39"/>
      <c r="AN13" s="955"/>
      <c r="AO13" s="955"/>
      <c r="AP13" s="955"/>
      <c r="AQ13" s="955"/>
      <c r="AR13" s="955"/>
      <c r="AS13" s="955"/>
    </row>
    <row r="14" spans="1:45" s="41" customFormat="1" ht="15" customHeight="1">
      <c r="C14" s="1914" t="str">
        <f>IF('A(2)-Uses Statement'!W13=1,"Refinance a mortgage loan, in conjunction with the project:",IF('A(2)-Uses Statement'!W13=0,"Interest rate writedown on the home mortgage:",""))</f>
        <v>Refinance a mortgage loan, in conjunction with the project:</v>
      </c>
      <c r="D14" s="1914"/>
      <c r="E14" s="1914"/>
      <c r="F14" s="1914"/>
      <c r="G14" s="1914"/>
      <c r="H14" s="1914"/>
      <c r="I14" s="1914"/>
      <c r="J14" s="1903" t="s">
        <v>114</v>
      </c>
      <c r="K14" s="1904"/>
      <c r="R14" s="82"/>
      <c r="S14" s="82"/>
      <c r="T14" s="1266">
        <f>IF(OR(J23="Yes",J23="No"),0,1)</f>
        <v>0</v>
      </c>
      <c r="U14" s="82"/>
      <c r="V14" s="82"/>
      <c r="W14" s="82"/>
      <c r="X14" s="82"/>
      <c r="Y14" s="82"/>
      <c r="Z14" s="1267"/>
      <c r="AA14" s="82"/>
      <c r="AB14" s="82"/>
      <c r="AC14" s="82">
        <f>COUNTIF(J23,$AB$15)</f>
        <v>0</v>
      </c>
      <c r="AD14" s="82"/>
      <c r="AE14" s="800">
        <f>IF(O29="Yes",MAX(AE13)+1,0)</f>
        <v>0</v>
      </c>
      <c r="AF14" s="800" t="s">
        <v>1111</v>
      </c>
      <c r="AG14" s="800" t="s">
        <v>1137</v>
      </c>
      <c r="AH14" s="82"/>
      <c r="AI14" s="82"/>
      <c r="AJ14" s="82"/>
      <c r="AK14" s="1265"/>
      <c r="AL14" s="1265"/>
      <c r="AM14" s="1265"/>
      <c r="AN14" s="19"/>
      <c r="AO14" s="19"/>
      <c r="AP14" s="19"/>
      <c r="AQ14" s="19"/>
      <c r="AR14" s="19"/>
      <c r="AS14" s="19"/>
    </row>
    <row r="15" spans="1:45" s="41" customFormat="1" ht="3" customHeight="1">
      <c r="C15" s="956"/>
      <c r="D15" s="1205"/>
      <c r="E15" s="1205"/>
      <c r="F15" s="1205"/>
      <c r="G15" s="1205"/>
      <c r="H15" s="1205"/>
      <c r="I15" s="1205"/>
      <c r="J15" s="1225"/>
      <c r="K15" s="1225"/>
      <c r="M15" s="1224"/>
      <c r="N15" s="1224"/>
      <c r="R15" s="82"/>
      <c r="S15" s="82"/>
      <c r="T15" s="1266">
        <f>IF(OR(O23="Yes",O23="No"),0,1)</f>
        <v>0</v>
      </c>
      <c r="U15" s="1266"/>
      <c r="V15" s="1266"/>
      <c r="W15" s="1266"/>
      <c r="X15" s="1266"/>
      <c r="Y15" s="82"/>
      <c r="Z15" s="1267"/>
      <c r="AA15" s="82"/>
      <c r="AB15" s="82" t="s">
        <v>677</v>
      </c>
      <c r="AC15" s="82">
        <f>COUNTIF(O23,$AB$15)</f>
        <v>0</v>
      </c>
      <c r="AD15" s="82"/>
      <c r="AE15" s="800">
        <f>IF(J31="Yes",MAX(AE13:AE14)+1,0)</f>
        <v>0</v>
      </c>
      <c r="AF15" s="800" t="s">
        <v>1115</v>
      </c>
      <c r="AG15" s="800" t="s">
        <v>1138</v>
      </c>
      <c r="AH15" s="82"/>
      <c r="AI15" s="82"/>
      <c r="AJ15" s="82"/>
      <c r="AK15" s="1265"/>
      <c r="AL15" s="1265"/>
      <c r="AM15" s="1265"/>
      <c r="AN15" s="19"/>
      <c r="AO15" s="19"/>
      <c r="AP15" s="19"/>
      <c r="AQ15" s="19"/>
      <c r="AR15" s="19"/>
      <c r="AS15" s="19"/>
    </row>
    <row r="16" spans="1:45" s="41" customFormat="1" ht="15" customHeight="1">
      <c r="C16" s="1914" t="str">
        <f>IF('A(2)-Uses Statement'!W13=1,"Principal reduction on the mortgage for the rental project:",IF('A(2)-Uses Statement'!W13=0,"Homeowners' closing costs:",""))</f>
        <v>Principal reduction on the mortgage for the rental project:</v>
      </c>
      <c r="D16" s="1914"/>
      <c r="E16" s="1914"/>
      <c r="F16" s="1914"/>
      <c r="G16" s="1914"/>
      <c r="H16" s="1914"/>
      <c r="I16" s="1914"/>
      <c r="J16" s="1903" t="s">
        <v>114</v>
      </c>
      <c r="K16" s="1904"/>
      <c r="R16" s="82"/>
      <c r="S16" s="82"/>
      <c r="T16" s="1266">
        <f>IF(OR(J25="Yes",J25="No"),0,1)</f>
        <v>0</v>
      </c>
      <c r="U16" s="1266"/>
      <c r="V16" s="1266"/>
      <c r="W16" s="1266"/>
      <c r="X16" s="1266"/>
      <c r="Y16" s="82"/>
      <c r="Z16" s="1267"/>
      <c r="AA16" s="82"/>
      <c r="AB16" s="82" t="s">
        <v>114</v>
      </c>
      <c r="AC16" s="82">
        <f>COUNTIF(J25,$AB$15)</f>
        <v>0</v>
      </c>
      <c r="AD16" s="82"/>
      <c r="AE16" s="800">
        <f>IF(O31="Yes",MAX(AE13:AE15)+1,0)</f>
        <v>0</v>
      </c>
      <c r="AF16" s="800" t="s">
        <v>1116</v>
      </c>
      <c r="AG16" s="800" t="s">
        <v>1139</v>
      </c>
      <c r="AH16" s="82"/>
      <c r="AI16" s="82"/>
      <c r="AJ16" s="82"/>
      <c r="AK16" s="1265"/>
      <c r="AL16" s="1265"/>
      <c r="AM16" s="1265"/>
      <c r="AN16" s="19"/>
      <c r="AO16" s="19"/>
      <c r="AP16" s="19"/>
      <c r="AQ16" s="19"/>
      <c r="AR16" s="19"/>
      <c r="AS16" s="19"/>
    </row>
    <row r="17" spans="1:45" s="956" customFormat="1" ht="3" customHeight="1">
      <c r="C17" s="486"/>
      <c r="D17" s="41"/>
      <c r="E17" s="1226"/>
      <c r="F17" s="1226"/>
      <c r="G17" s="1226"/>
      <c r="H17" s="1226"/>
      <c r="I17" s="1226"/>
      <c r="J17" s="1229"/>
      <c r="K17" s="1229"/>
      <c r="M17" s="1226"/>
      <c r="N17" s="1226"/>
      <c r="R17" s="800"/>
      <c r="S17" s="800"/>
      <c r="T17" s="1266">
        <f>IF(OR(O25="Yes",O25="No"),0,1)</f>
        <v>0</v>
      </c>
      <c r="U17" s="1266"/>
      <c r="V17" s="1266"/>
      <c r="W17" s="1266"/>
      <c r="X17" s="1266"/>
      <c r="Y17" s="800"/>
      <c r="Z17" s="1267"/>
      <c r="AA17" s="800"/>
      <c r="AB17" s="800" t="s">
        <v>115</v>
      </c>
      <c r="AC17" s="82">
        <f>COUNTIF(O25,$AB$15)</f>
        <v>0</v>
      </c>
      <c r="AD17" s="800"/>
      <c r="AE17" s="800"/>
      <c r="AF17" s="800"/>
      <c r="AG17" s="800"/>
      <c r="AH17" s="800"/>
      <c r="AI17" s="800"/>
      <c r="AJ17" s="800"/>
      <c r="AK17" s="39"/>
      <c r="AL17" s="39"/>
      <c r="AM17" s="39"/>
      <c r="AN17" s="955"/>
      <c r="AO17" s="955"/>
      <c r="AP17" s="955"/>
      <c r="AQ17" s="955"/>
      <c r="AR17" s="955"/>
      <c r="AS17" s="955"/>
    </row>
    <row r="18" spans="1:45" s="956" customFormat="1" ht="15" customHeight="1">
      <c r="B18" s="1914" t="str">
        <f>IF('A(2)-Uses Statement'!W13=1,"Permanent loan for the rental project:",IF('A(2)-Uses Statement'!W13=0,"Principal reduction (down payment) on the homebuyers' mortgage:",""))</f>
        <v>Permanent loan for the rental project:</v>
      </c>
      <c r="C18" s="1914"/>
      <c r="D18" s="1914"/>
      <c r="E18" s="1914"/>
      <c r="F18" s="1914"/>
      <c r="G18" s="1914"/>
      <c r="H18" s="1914"/>
      <c r="I18" s="1914"/>
      <c r="J18" s="1903" t="s">
        <v>114</v>
      </c>
      <c r="K18" s="1904"/>
      <c r="M18" s="1226"/>
      <c r="N18" s="1226"/>
      <c r="R18" s="800"/>
      <c r="S18" s="800"/>
      <c r="T18" s="1266">
        <f>IF(OR(O31="Yes",O31="No"),0,1)</f>
        <v>0</v>
      </c>
      <c r="U18" s="1266"/>
      <c r="V18" s="1266"/>
      <c r="W18" s="1266"/>
      <c r="X18" s="1266"/>
      <c r="Y18" s="800"/>
      <c r="Z18" s="1267"/>
      <c r="AA18" s="800"/>
      <c r="AB18" s="800"/>
      <c r="AC18" s="82">
        <f>COUNTIF(O31,$AB$15)</f>
        <v>0</v>
      </c>
      <c r="AD18" s="800"/>
      <c r="AE18" s="800"/>
      <c r="AF18" s="800"/>
      <c r="AG18" s="800"/>
      <c r="AH18" s="800"/>
      <c r="AI18" s="800"/>
      <c r="AJ18" s="800"/>
      <c r="AK18" s="39"/>
      <c r="AL18" s="39"/>
      <c r="AM18" s="39"/>
      <c r="AN18" s="955"/>
      <c r="AO18" s="955"/>
      <c r="AP18" s="955"/>
      <c r="AQ18" s="955"/>
      <c r="AR18" s="955"/>
      <c r="AS18" s="955"/>
    </row>
    <row r="19" spans="1:45" s="956" customFormat="1" ht="3" customHeight="1">
      <c r="C19" s="486"/>
      <c r="D19" s="41"/>
      <c r="E19" s="1226"/>
      <c r="F19" s="1226"/>
      <c r="G19" s="1226"/>
      <c r="H19" s="1226"/>
      <c r="I19" s="1226"/>
      <c r="J19" s="1229"/>
      <c r="K19" s="1229"/>
      <c r="M19" s="1226"/>
      <c r="N19" s="1226"/>
      <c r="R19" s="800"/>
      <c r="S19" s="800"/>
      <c r="T19" s="1266">
        <f>IF(OR(J27="Yes",J27="No"),0,1)</f>
        <v>0</v>
      </c>
      <c r="U19" s="1266"/>
      <c r="V19" s="1266"/>
      <c r="W19" s="1266"/>
      <c r="X19" s="1266"/>
      <c r="Y19" s="800"/>
      <c r="Z19" s="1267"/>
      <c r="AA19" s="800"/>
      <c r="AB19" s="800"/>
      <c r="AC19" s="82">
        <f>COUNTIF(J27,$AB$15)</f>
        <v>0</v>
      </c>
      <c r="AD19" s="800"/>
      <c r="AE19" s="800"/>
      <c r="AF19" s="800"/>
      <c r="AG19" s="800"/>
      <c r="AH19" s="800"/>
      <c r="AI19" s="800"/>
      <c r="AJ19" s="800"/>
      <c r="AK19" s="39"/>
      <c r="AL19" s="39"/>
      <c r="AM19" s="39"/>
      <c r="AN19" s="955"/>
      <c r="AO19" s="955"/>
      <c r="AP19" s="955"/>
      <c r="AQ19" s="955"/>
      <c r="AR19" s="955"/>
      <c r="AS19" s="955"/>
    </row>
    <row r="20" spans="1:45" s="956" customFormat="1" ht="15" customHeight="1">
      <c r="C20" s="1914" t="str">
        <f>IF('A(2)-Uses Statement'!W13=1,"Closing costs for the rental project:",IF('A(2)-Uses Statement'!W13=0,"Homebuyers' counseling costs:",""))</f>
        <v>Closing costs for the rental project:</v>
      </c>
      <c r="D20" s="1914"/>
      <c r="E20" s="1914"/>
      <c r="F20" s="1914"/>
      <c r="G20" s="1914"/>
      <c r="H20" s="1914"/>
      <c r="I20" s="1914"/>
      <c r="J20" s="1903" t="s">
        <v>114</v>
      </c>
      <c r="K20" s="1904"/>
      <c r="M20" s="1226"/>
      <c r="N20" s="1226"/>
      <c r="R20" s="800"/>
      <c r="S20" s="800"/>
      <c r="T20" s="1266">
        <f>IF(OR(J29="Yes",J29="No"),0,1)</f>
        <v>0</v>
      </c>
      <c r="U20" s="1266"/>
      <c r="V20" s="1266"/>
      <c r="W20" s="1266"/>
      <c r="X20" s="1266"/>
      <c r="Y20" s="800"/>
      <c r="Z20" s="1267"/>
      <c r="AA20" s="800"/>
      <c r="AB20" s="800"/>
      <c r="AC20" s="82">
        <f>COUNTIF(J29,$AB$15)</f>
        <v>0</v>
      </c>
      <c r="AD20" s="800"/>
      <c r="AE20" s="800"/>
      <c r="AF20" s="800"/>
      <c r="AG20" s="800"/>
      <c r="AH20" s="800"/>
      <c r="AI20" s="800"/>
      <c r="AJ20" s="800"/>
      <c r="AK20" s="39"/>
      <c r="AL20" s="39"/>
      <c r="AM20" s="39"/>
      <c r="AN20" s="955"/>
      <c r="AO20" s="955"/>
      <c r="AP20" s="955"/>
      <c r="AQ20" s="955"/>
      <c r="AR20" s="955"/>
      <c r="AS20" s="955"/>
    </row>
    <row r="21" spans="1:45" s="956" customFormat="1" ht="3" customHeight="1">
      <c r="C21" s="486"/>
      <c r="D21" s="41"/>
      <c r="E21" s="1226"/>
      <c r="F21" s="1226"/>
      <c r="G21" s="1226"/>
      <c r="H21" s="1226"/>
      <c r="I21" s="1226"/>
      <c r="J21" s="1226"/>
      <c r="K21" s="1229"/>
      <c r="L21" s="1229"/>
      <c r="M21" s="1226"/>
      <c r="N21" s="1226"/>
      <c r="O21" s="88"/>
      <c r="P21" s="41"/>
      <c r="R21" s="800"/>
      <c r="S21" s="800"/>
      <c r="T21" s="1266">
        <f>IF(OR(O29="Yes",O29="No"),0,1)</f>
        <v>0</v>
      </c>
      <c r="U21" s="1266"/>
      <c r="V21" s="1266"/>
      <c r="W21" s="1266"/>
      <c r="X21" s="1266"/>
      <c r="Y21" s="800"/>
      <c r="Z21" s="1267"/>
      <c r="AA21" s="933"/>
      <c r="AB21" s="800"/>
      <c r="AC21" s="82">
        <f>COUNTIF(O29,$AB$15)</f>
        <v>0</v>
      </c>
      <c r="AD21" s="800"/>
      <c r="AE21" s="800"/>
      <c r="AF21" s="800"/>
      <c r="AG21" s="800"/>
      <c r="AH21" s="800"/>
      <c r="AI21" s="800"/>
      <c r="AJ21" s="800"/>
      <c r="AK21" s="39"/>
      <c r="AL21" s="39"/>
      <c r="AM21" s="39"/>
      <c r="AN21" s="955"/>
      <c r="AO21" s="955"/>
      <c r="AP21" s="955"/>
      <c r="AQ21" s="955"/>
      <c r="AR21" s="955"/>
      <c r="AS21" s="955"/>
    </row>
    <row r="22" spans="1:45" s="956" customFormat="1" ht="15.75" customHeight="1">
      <c r="A22" s="1910" t="s">
        <v>669</v>
      </c>
      <c r="B22" s="1910"/>
      <c r="C22" s="1910"/>
      <c r="D22" s="1910"/>
      <c r="E22" s="1910"/>
      <c r="F22" s="1910"/>
      <c r="G22" s="1910"/>
      <c r="H22" s="1910"/>
      <c r="I22" s="1910"/>
      <c r="J22" s="1231"/>
      <c r="K22" s="1232"/>
      <c r="L22" s="1232"/>
      <c r="M22" s="1227"/>
      <c r="N22" s="1227"/>
      <c r="O22" s="172"/>
      <c r="R22" s="800"/>
      <c r="S22" s="800"/>
      <c r="T22" s="1266">
        <f>IF(OR(J31="Yes",J31="No"),0,1)</f>
        <v>0</v>
      </c>
      <c r="U22" s="1266"/>
      <c r="V22" s="1266"/>
      <c r="W22" s="1266"/>
      <c r="X22" s="1266"/>
      <c r="Y22" s="800"/>
      <c r="Z22" s="800"/>
      <c r="AA22" s="800"/>
      <c r="AB22" s="800"/>
      <c r="AC22" s="82">
        <f>COUNTIF(J31,$AB$15)</f>
        <v>0</v>
      </c>
      <c r="AD22" s="800"/>
      <c r="AE22" s="800"/>
      <c r="AF22" s="800"/>
      <c r="AG22" s="800"/>
      <c r="AH22" s="800"/>
      <c r="AI22" s="800"/>
      <c r="AJ22" s="800"/>
      <c r="AK22" s="39"/>
      <c r="AL22" s="39"/>
      <c r="AM22" s="39"/>
      <c r="AN22" s="955"/>
      <c r="AO22" s="955"/>
      <c r="AP22" s="955"/>
      <c r="AQ22" s="955"/>
      <c r="AR22" s="955"/>
      <c r="AS22" s="955"/>
    </row>
    <row r="23" spans="1:45" s="956" customFormat="1" ht="15" customHeight="1">
      <c r="C23" s="1912" t="s">
        <v>1104</v>
      </c>
      <c r="D23" s="1912"/>
      <c r="E23" s="1912"/>
      <c r="F23" s="1912"/>
      <c r="G23" s="1912"/>
      <c r="H23" s="1912"/>
      <c r="I23" s="1913"/>
      <c r="J23" s="1903" t="s">
        <v>114</v>
      </c>
      <c r="K23" s="1904"/>
      <c r="L23" s="1911" t="s">
        <v>1105</v>
      </c>
      <c r="M23" s="1912"/>
      <c r="N23" s="1913"/>
      <c r="O23" s="1903" t="s">
        <v>114</v>
      </c>
      <c r="P23" s="1904"/>
      <c r="R23" s="1263"/>
      <c r="S23" s="1263"/>
      <c r="T23" s="1266">
        <f>IF(OR(O27="Yes",O27="No"),0,1)</f>
        <v>0</v>
      </c>
      <c r="U23" s="1266"/>
      <c r="V23" s="1266"/>
      <c r="W23" s="1266"/>
      <c r="X23" s="1266"/>
      <c r="Y23" s="800"/>
      <c r="Z23" s="800"/>
      <c r="AA23" s="800"/>
      <c r="AB23" s="800"/>
      <c r="AC23" s="82">
        <f>COUNTIF(O27,$AB$15)</f>
        <v>0</v>
      </c>
      <c r="AD23" s="800"/>
      <c r="AE23" s="800"/>
      <c r="AF23" s="800"/>
      <c r="AG23" s="800"/>
      <c r="AH23" s="800"/>
      <c r="AI23" s="800"/>
      <c r="AJ23" s="800"/>
      <c r="AK23" s="39"/>
      <c r="AL23" s="39"/>
      <c r="AM23" s="39"/>
      <c r="AN23" s="955"/>
      <c r="AO23" s="955"/>
      <c r="AP23" s="955"/>
      <c r="AQ23" s="955"/>
      <c r="AR23" s="955"/>
      <c r="AS23" s="955"/>
    </row>
    <row r="24" spans="1:45" ht="3" customHeight="1">
      <c r="B24" s="956"/>
      <c r="C24" s="1227"/>
      <c r="D24" s="1227"/>
      <c r="E24" s="1227"/>
      <c r="F24" s="1227"/>
      <c r="G24" s="1227"/>
      <c r="J24" s="1228"/>
      <c r="K24" s="1228"/>
      <c r="O24" s="1261"/>
      <c r="P24" s="1261"/>
      <c r="T24" s="1266"/>
      <c r="U24" s="1266"/>
      <c r="V24" s="1266"/>
      <c r="W24" s="1266"/>
      <c r="X24" s="1266"/>
      <c r="AC24" s="82"/>
      <c r="AD24" s="98"/>
      <c r="AE24" s="98"/>
      <c r="AF24" s="98"/>
      <c r="AG24" s="98"/>
    </row>
    <row r="25" spans="1:45" ht="15" customHeight="1">
      <c r="B25" s="956"/>
      <c r="C25" s="1921" t="s">
        <v>1106</v>
      </c>
      <c r="D25" s="1921"/>
      <c r="E25" s="1921"/>
      <c r="F25" s="1921"/>
      <c r="G25" s="1921"/>
      <c r="H25" s="1921"/>
      <c r="I25" s="1922"/>
      <c r="J25" s="1924" t="s">
        <v>114</v>
      </c>
      <c r="K25" s="1925"/>
      <c r="L25" s="1920" t="s">
        <v>1107</v>
      </c>
      <c r="M25" s="1921"/>
      <c r="N25" s="1922"/>
      <c r="O25" s="1903" t="s">
        <v>114</v>
      </c>
      <c r="P25" s="1904"/>
      <c r="Q25" s="216"/>
      <c r="T25" s="1266"/>
      <c r="U25" s="1266"/>
      <c r="V25" s="1266">
        <f>IF(OR(J29="Yes",J29="No"),1,0)</f>
        <v>1</v>
      </c>
      <c r="W25" s="1266"/>
      <c r="X25" s="1266"/>
      <c r="AC25" s="82"/>
    </row>
    <row r="26" spans="1:45" ht="3" customHeight="1">
      <c r="B26" s="956"/>
      <c r="C26" s="956"/>
      <c r="D26" s="956"/>
      <c r="E26" s="956"/>
      <c r="F26" s="956"/>
      <c r="G26" s="956"/>
      <c r="J26" s="1236"/>
      <c r="K26" s="1236"/>
      <c r="O26" s="1236"/>
      <c r="P26" s="1236"/>
      <c r="T26" s="1266">
        <f>IF('Project Info and Instructions'!$F$20&lt;&gt;"Select Project Type",IF(OR(J18="Yes",J18="No"),0,1),2)</f>
        <v>0</v>
      </c>
      <c r="U26" s="1266"/>
      <c r="W26" s="1266"/>
      <c r="X26" s="1266"/>
      <c r="AA26" s="800" t="str">
        <f>IF(COUNTIF(D33:J40,"&lt;&gt;")&gt;0,"Pick a Source","")</f>
        <v>Pick a Source</v>
      </c>
      <c r="AC26" s="82">
        <f>COUNTIF(J18,$AB$15)</f>
        <v>0</v>
      </c>
    </row>
    <row r="27" spans="1:45" ht="15" customHeight="1">
      <c r="C27" s="1912" t="s">
        <v>1108</v>
      </c>
      <c r="D27" s="1912"/>
      <c r="E27" s="1912"/>
      <c r="F27" s="1912"/>
      <c r="G27" s="1912"/>
      <c r="H27" s="1912"/>
      <c r="I27" s="1913"/>
      <c r="J27" s="1903" t="s">
        <v>114</v>
      </c>
      <c r="K27" s="1904"/>
      <c r="L27" s="1911" t="s">
        <v>1109</v>
      </c>
      <c r="M27" s="1912"/>
      <c r="N27" s="1913"/>
      <c r="O27" s="1903" t="s">
        <v>114</v>
      </c>
      <c r="P27" s="1904"/>
      <c r="T27" s="1266">
        <f>IF('Project Info and Instructions'!$F$20&lt;&gt;"Select Project Type",IF(OR(J16="Yes",J16="No"),0,1),2)</f>
        <v>0</v>
      </c>
      <c r="V27" s="800">
        <f>IF(OR(O29="Yes",O29="No"),1,0)</f>
        <v>1</v>
      </c>
      <c r="AA27" s="1268" t="str">
        <f>IF('A(1)-Sources Stmt.'!D35&lt;&gt;"",'A(1)-Sources Stmt.'!D35,"")</f>
        <v/>
      </c>
      <c r="AB27" s="1269" t="str">
        <f>IF('A(1)-Sources Stmt.'!D35&lt;&gt;"",'A(1)-Sources Stmt.'!D35,"")</f>
        <v/>
      </c>
      <c r="AC27" s="82">
        <f>COUNTIF(J16,$AB$15)</f>
        <v>0</v>
      </c>
    </row>
    <row r="28" spans="1:45" ht="3" customHeight="1">
      <c r="C28" s="1234"/>
      <c r="D28" s="1233"/>
      <c r="E28" s="1233"/>
      <c r="F28" s="1233"/>
      <c r="G28" s="1233"/>
      <c r="J28" s="1261"/>
      <c r="K28" s="1261"/>
      <c r="M28" s="1234"/>
      <c r="N28" s="1234"/>
      <c r="O28" s="1262"/>
      <c r="P28" s="1262"/>
      <c r="T28" s="1266">
        <f>IF('Project Info and Instructions'!$F$20&lt;&gt;"Select Project Type",IF(OR(J20="Yes",J20="No"),0,1),2)</f>
        <v>0</v>
      </c>
      <c r="AA28" s="1268" t="str">
        <f>IF('A(1)-Sources Stmt.'!D36&lt;&gt;"",'A(1)-Sources Stmt.'!D36,"")</f>
        <v/>
      </c>
      <c r="AB28" s="1269" t="str">
        <f>IF('A(1)-Sources Stmt.'!D36&lt;&gt;"",'A(1)-Sources Stmt.'!D36,"")</f>
        <v/>
      </c>
      <c r="AC28" s="82">
        <f>COUNTIF(J20,$AB$15)</f>
        <v>0</v>
      </c>
    </row>
    <row r="29" spans="1:45" ht="15" customHeight="1">
      <c r="C29" s="1234"/>
      <c r="E29" s="1923" t="s">
        <v>1110</v>
      </c>
      <c r="F29" s="1923"/>
      <c r="G29" s="1923"/>
      <c r="H29" s="1923"/>
      <c r="I29" s="1923"/>
      <c r="J29" s="1903" t="s">
        <v>115</v>
      </c>
      <c r="K29" s="1904"/>
      <c r="L29" s="1912" t="s">
        <v>1111</v>
      </c>
      <c r="M29" s="1912"/>
      <c r="N29" s="1913"/>
      <c r="O29" s="1903" t="s">
        <v>115</v>
      </c>
      <c r="P29" s="1904"/>
      <c r="T29" s="1266">
        <f>IF('Project Info and Instructions'!$F$20&lt;&gt;"Select Project Type",IF(OR(J14="Yes",J14="No"),0,1),2)</f>
        <v>0</v>
      </c>
      <c r="V29" s="800">
        <f>IF(OR(J31="Yes",J31="No"),1,0)</f>
        <v>1</v>
      </c>
      <c r="AA29" s="1268" t="str">
        <f>IF('A(1)-Sources Stmt.'!D37&lt;&gt;"",'A(1)-Sources Stmt.'!D37,"")</f>
        <v/>
      </c>
      <c r="AB29" s="1269" t="str">
        <f>IF('A(1)-Sources Stmt.'!D37&lt;&gt;"",'A(1)-Sources Stmt.'!D37,"")</f>
        <v/>
      </c>
      <c r="AC29" s="82">
        <f>COUNTIF(J14,$AB$15)</f>
        <v>0</v>
      </c>
    </row>
    <row r="30" spans="1:45" ht="3" customHeight="1">
      <c r="C30" s="1234"/>
      <c r="D30" s="1227"/>
      <c r="E30" s="1227"/>
      <c r="F30" s="1227"/>
      <c r="G30" s="1227"/>
      <c r="J30" s="49"/>
      <c r="M30" s="1234"/>
      <c r="N30" s="1234"/>
      <c r="O30" s="1262"/>
      <c r="P30" s="1262"/>
      <c r="T30" s="1266">
        <f>SUM(T14:T29)</f>
        <v>0</v>
      </c>
      <c r="AA30" s="1268" t="str">
        <f>IF('A(1)-Sources Stmt.'!D38&lt;&gt;"",'A(1)-Sources Stmt.'!D38,"")</f>
        <v/>
      </c>
      <c r="AB30" s="1269" t="str">
        <f>IF('A(1)-Sources Stmt.'!D38&lt;&gt;"",'A(1)-Sources Stmt.'!D38,"")</f>
        <v/>
      </c>
    </row>
    <row r="31" spans="1:45" ht="15" customHeight="1">
      <c r="C31" s="1234"/>
      <c r="D31" s="1223"/>
      <c r="E31" s="1912" t="s">
        <v>1112</v>
      </c>
      <c r="F31" s="1912"/>
      <c r="G31" s="1912"/>
      <c r="H31" s="1912"/>
      <c r="I31" s="1912"/>
      <c r="J31" s="1903" t="s">
        <v>115</v>
      </c>
      <c r="K31" s="1904"/>
      <c r="L31" s="1911" t="s">
        <v>1113</v>
      </c>
      <c r="M31" s="1912"/>
      <c r="N31" s="1912"/>
      <c r="O31" s="1903" t="s">
        <v>115</v>
      </c>
      <c r="P31" s="1904"/>
      <c r="V31" s="800">
        <f>IF(OR(O31="Yes",O31="No"),1,0)</f>
        <v>1</v>
      </c>
      <c r="AA31" s="1268" t="str">
        <f>IF('A(1)-Sources Stmt.'!D39&lt;&gt;"",'A(1)-Sources Stmt.'!D39,"")</f>
        <v/>
      </c>
      <c r="AB31" s="1269" t="str">
        <f>IF('A(1)-Sources Stmt.'!D39&lt;&gt;"",'A(1)-Sources Stmt.'!D39,"")</f>
        <v/>
      </c>
    </row>
    <row r="32" spans="1:45" ht="3" customHeight="1">
      <c r="C32" s="1234"/>
      <c r="D32" s="956"/>
      <c r="E32" s="956"/>
      <c r="F32" s="1230"/>
      <c r="G32" s="1230"/>
      <c r="J32" s="49"/>
      <c r="M32" s="1234"/>
      <c r="N32" s="1234"/>
      <c r="O32" s="1262"/>
      <c r="P32" s="1262"/>
      <c r="AA32" s="1268" t="str">
        <f>IF('A(1)-Sources Stmt.'!D40&lt;&gt;"",'A(1)-Sources Stmt.'!D40,"")</f>
        <v/>
      </c>
      <c r="AB32" s="1269" t="str">
        <f>IF('A(1)-Sources Stmt.'!D40&lt;&gt;"",'A(1)-Sources Stmt.'!D40,"")</f>
        <v/>
      </c>
    </row>
    <row r="33" spans="1:28" ht="25.5" customHeight="1">
      <c r="B33" s="1926" t="s">
        <v>1158</v>
      </c>
      <c r="C33" s="1927"/>
      <c r="D33" s="1927"/>
      <c r="E33" s="1927"/>
      <c r="F33" s="1927"/>
      <c r="G33" s="1927"/>
      <c r="H33" s="1927"/>
      <c r="I33" s="1927"/>
      <c r="J33" s="1927"/>
      <c r="K33" s="1927"/>
      <c r="L33" s="1927"/>
      <c r="M33" s="1927"/>
      <c r="N33" s="1927"/>
      <c r="O33" s="1927"/>
      <c r="P33" s="1928"/>
      <c r="V33" s="800">
        <f>SUM(V25:V31)</f>
        <v>4</v>
      </c>
      <c r="W33" s="464"/>
      <c r="X33" s="464"/>
      <c r="AA33" s="1268" t="str">
        <f>IF('A(1)-Sources Stmt.'!D41&lt;&gt;"",'A(1)-Sources Stmt.'!D41,"")</f>
        <v/>
      </c>
      <c r="AB33" s="1269" t="str">
        <f>IF('A(1)-Sources Stmt.'!D41&lt;&gt;"",'A(1)-Sources Stmt.'!D41,"")</f>
        <v/>
      </c>
    </row>
    <row r="34" spans="1:28" ht="4.5" customHeight="1">
      <c r="R34" s="98">
        <f>IF(J36="Pick a Source",0,1)</f>
        <v>0</v>
      </c>
      <c r="S34" s="98">
        <f>IF(AND(A36&lt;&gt;"",R34=0),1,0)</f>
        <v>0</v>
      </c>
      <c r="W34" s="1270" t="str">
        <f>IFERROR(VLOOKUP(1,AE13:AF16,2,FALSE),"")</f>
        <v/>
      </c>
      <c r="X34" s="464"/>
      <c r="AA34" s="1268" t="str">
        <f>IF('A(1)-Sources Stmt.'!D42&lt;&gt;"",'A(1)-Sources Stmt.'!D42,"")</f>
        <v/>
      </c>
      <c r="AB34" s="1269" t="str">
        <f>IF('A(1)-Sources Stmt.'!D42&lt;&gt;"",'A(1)-Sources Stmt.'!D42,"")</f>
        <v/>
      </c>
    </row>
    <row r="35" spans="1:28" ht="3" customHeight="1">
      <c r="A35" s="76"/>
      <c r="B35" s="76"/>
      <c r="C35" s="76"/>
      <c r="D35" s="76"/>
      <c r="E35" s="76"/>
      <c r="F35" s="76"/>
      <c r="G35" s="76"/>
      <c r="H35" s="76"/>
      <c r="I35" s="76"/>
      <c r="R35" s="759">
        <f>SUM(R34:R34)</f>
        <v>0</v>
      </c>
      <c r="W35" s="464"/>
      <c r="X35" s="464"/>
      <c r="AA35" s="1268" t="str">
        <f>IF('A(1)-Sources Stmt.'!D43&lt;&gt;"",'A(1)-Sources Stmt.'!D43,"")</f>
        <v/>
      </c>
      <c r="AB35" s="1269" t="str">
        <f>IF('A(1)-Sources Stmt.'!D43&lt;&gt;"",'A(1)-Sources Stmt.'!D43,"")</f>
        <v/>
      </c>
    </row>
    <row r="36" spans="1:28" ht="15" customHeight="1">
      <c r="A36" s="1931" t="str">
        <f>IF(AND(W34&lt;&gt;"",J36="Pick a Source"),"Select the "&amp;AA46&amp;" from the dropdown to the right:",IF(AND(W34&lt;&gt;"",J36&lt;&gt;"Pick a Source",J36&lt;&gt;""),AA46&amp;":",""))</f>
        <v/>
      </c>
      <c r="B36" s="1931"/>
      <c r="C36" s="1931"/>
      <c r="D36" s="1931"/>
      <c r="E36" s="1931"/>
      <c r="F36" s="1931"/>
      <c r="G36" s="1931"/>
      <c r="H36" s="1931"/>
      <c r="I36" s="1932"/>
      <c r="J36" s="1933" t="s">
        <v>1114</v>
      </c>
      <c r="K36" s="1934"/>
      <c r="L36" s="1934"/>
      <c r="M36" s="1935"/>
      <c r="R36" s="98">
        <f>IF(J38="Pick a Source",0,1)</f>
        <v>0</v>
      </c>
      <c r="S36" s="98">
        <f>IF(AND(C38&lt;&gt;"",R36=0),1,0)</f>
        <v>0</v>
      </c>
      <c r="W36" s="1271" t="str">
        <f>IFERROR(VLOOKUP(2,AE13:AF16,2,FALSE),"")</f>
        <v/>
      </c>
      <c r="X36" s="464"/>
      <c r="AA36" s="1268" t="str">
        <f>IF('A(1)-Sources Stmt.'!D44&lt;&gt;"",'A(1)-Sources Stmt.'!D44,"")</f>
        <v/>
      </c>
      <c r="AB36" s="1269" t="str">
        <f>IF('A(1)-Sources Stmt.'!D44&lt;&gt;"",'A(1)-Sources Stmt.'!D44,"")</f>
        <v/>
      </c>
    </row>
    <row r="37" spans="1:28" ht="3" customHeight="1">
      <c r="A37" s="76"/>
      <c r="B37" s="76"/>
      <c r="C37" s="76"/>
      <c r="D37" s="76"/>
      <c r="E37" s="76"/>
      <c r="F37" s="76"/>
      <c r="G37" s="76"/>
      <c r="H37" s="76"/>
      <c r="I37" s="76"/>
      <c r="R37" s="759">
        <f>SUM(R36:R36)</f>
        <v>0</v>
      </c>
      <c r="W37" s="464"/>
      <c r="X37" s="464"/>
      <c r="AA37" s="1268" t="str">
        <f>IF('A(1)-Sources Stmt.'!D45&lt;&gt;"",'A(1)-Sources Stmt.'!D45,"")</f>
        <v/>
      </c>
      <c r="AB37" s="1269" t="str">
        <f>IF('A(1)-Sources Stmt.'!D45&lt;&gt;"",'A(1)-Sources Stmt.'!D45,"")</f>
        <v/>
      </c>
    </row>
    <row r="38" spans="1:28" ht="15" customHeight="1">
      <c r="A38" s="76"/>
      <c r="C38" s="1931" t="str">
        <f>IF(AND(W36&lt;&gt;"",J38="Pick a Source"),"Select the "&amp;AA47&amp;" from the dropdown to the right:",IF(AND(W36&lt;&gt;"",J38&lt;&gt;"Pick a Source",J38&lt;&gt;""),AA47&amp;":",""))</f>
        <v/>
      </c>
      <c r="D38" s="1931"/>
      <c r="E38" s="1931"/>
      <c r="F38" s="1931"/>
      <c r="G38" s="1931"/>
      <c r="H38" s="1931"/>
      <c r="I38" s="1932"/>
      <c r="J38" s="1933" t="s">
        <v>1114</v>
      </c>
      <c r="K38" s="1934"/>
      <c r="L38" s="1934"/>
      <c r="M38" s="1935"/>
      <c r="R38" s="98">
        <f>IF(J40="Pick a Source",0,1)</f>
        <v>0</v>
      </c>
      <c r="S38" s="98">
        <f>IF(AND(B40&lt;&gt;"",R38=0),1,0)</f>
        <v>0</v>
      </c>
      <c r="W38" s="1270" t="str">
        <f>IFERROR(VLOOKUP(3,AE13:AF16,2,FALSE),"")</f>
        <v/>
      </c>
      <c r="X38" s="464"/>
      <c r="AA38" s="1268" t="str">
        <f>IF('A(1)-Sources Stmt.'!D46&lt;&gt;"",'A(1)-Sources Stmt.'!D46,"")</f>
        <v/>
      </c>
      <c r="AB38" s="1269" t="str">
        <f>IF('A(1)-Sources Stmt.'!D46&lt;&gt;"",'A(1)-Sources Stmt.'!D46,"")</f>
        <v/>
      </c>
    </row>
    <row r="39" spans="1:28" ht="3" customHeight="1">
      <c r="A39" s="76"/>
      <c r="B39" s="76"/>
      <c r="C39" s="76"/>
      <c r="D39" s="76"/>
      <c r="E39" s="76"/>
      <c r="F39" s="76"/>
      <c r="G39" s="76"/>
      <c r="H39" s="76"/>
      <c r="I39" s="76"/>
      <c r="R39" s="98">
        <f>IF(J42="Pick a Source",0,1)</f>
        <v>0</v>
      </c>
      <c r="S39" s="98">
        <f>IF(AND(B42&lt;&gt;"",R39=0),1,0)</f>
        <v>0</v>
      </c>
      <c r="W39" s="464"/>
      <c r="X39" s="464"/>
      <c r="AA39" s="1268" t="str">
        <f>IF('A(1)-Sources Stmt.'!D47&lt;&gt;"",'A(1)-Sources Stmt.'!D47,"")</f>
        <v/>
      </c>
      <c r="AB39" s="1269" t="str">
        <f>IF('A(1)-Sources Stmt.'!D47&lt;&gt;"",'A(1)-Sources Stmt.'!D47,"")</f>
        <v/>
      </c>
    </row>
    <row r="40" spans="1:28" ht="15" customHeight="1">
      <c r="A40" s="76"/>
      <c r="B40" s="1931" t="str">
        <f>IF(AND(W38&lt;&gt;"",J40="Pick a Source"),"Select the "&amp;AA48&amp;" from the dropdown to the right:",IF(AND(W38&lt;&gt;"",J40&lt;&gt;"Pick a Source",J40&lt;&gt;""),AA48&amp;":",""))</f>
        <v/>
      </c>
      <c r="C40" s="1931"/>
      <c r="D40" s="1931"/>
      <c r="E40" s="1931"/>
      <c r="F40" s="1931"/>
      <c r="G40" s="1931"/>
      <c r="H40" s="1931"/>
      <c r="I40" s="1932"/>
      <c r="J40" s="1933" t="s">
        <v>1114</v>
      </c>
      <c r="K40" s="1934"/>
      <c r="L40" s="1934"/>
      <c r="M40" s="1935"/>
      <c r="R40" s="759">
        <f>SUM(R38:R38)</f>
        <v>0</v>
      </c>
      <c r="S40" s="800">
        <f>S34+S36+S38+S39</f>
        <v>0</v>
      </c>
      <c r="W40" s="464"/>
      <c r="X40" s="464"/>
      <c r="AA40" s="1268" t="str">
        <f>IF('A(1)-Sources Stmt.'!D48&lt;&gt;"",'A(1)-Sources Stmt.'!D48,"")</f>
        <v/>
      </c>
      <c r="AB40" s="1269" t="str">
        <f>IF('A(1)-Sources Stmt.'!D48&lt;&gt;"",'A(1)-Sources Stmt.'!D48,"")</f>
        <v/>
      </c>
    </row>
    <row r="41" spans="1:28" ht="3" customHeight="1">
      <c r="R41" s="98">
        <f>IF(J42="Pick a Source",0,1)</f>
        <v>0</v>
      </c>
      <c r="W41" s="1929" t="str">
        <f>IFERROR(VLOOKUP(4,AE13:AF16,2,FALSE),"")</f>
        <v/>
      </c>
      <c r="X41" s="1930"/>
      <c r="AA41" s="1268" t="str">
        <f>IF('A(1)-Sources Stmt.'!D49&lt;&gt;"",'A(1)-Sources Stmt.'!D49,"")</f>
        <v/>
      </c>
      <c r="AB41" s="1269" t="str">
        <f>IF('A(1)-Sources Stmt.'!D49&lt;&gt;"",'A(1)-Sources Stmt.'!D49,"")</f>
        <v/>
      </c>
    </row>
    <row r="42" spans="1:28" ht="15" customHeight="1">
      <c r="B42" s="1931" t="str">
        <f>IF(AND(W41&lt;&gt;"",J42="Pick a Source"),"Select the "&amp;AA49&amp;" from the dropdown to the right:",IF(AND(W41&lt;&gt;"",J42&lt;&gt;"Pick a Source",J42&lt;&gt;""),AA49&amp;":",""))</f>
        <v/>
      </c>
      <c r="C42" s="1931"/>
      <c r="D42" s="1931"/>
      <c r="E42" s="1931"/>
      <c r="F42" s="1931"/>
      <c r="G42" s="1931"/>
      <c r="H42" s="1931"/>
      <c r="I42" s="1932"/>
      <c r="J42" s="1933" t="s">
        <v>1114</v>
      </c>
      <c r="K42" s="1934"/>
      <c r="L42" s="1934"/>
      <c r="M42" s="1935"/>
      <c r="W42" s="464"/>
      <c r="X42" s="464"/>
    </row>
    <row r="43" spans="1:28" ht="3" customHeight="1">
      <c r="R43" s="98" t="e">
        <f>IF(#REF!="",0,1)</f>
        <v>#REF!</v>
      </c>
    </row>
    <row r="44" spans="1:28" ht="15" customHeight="1">
      <c r="T44" s="800">
        <f>COUNTIF(J29:P31,"Yes")</f>
        <v>0</v>
      </c>
    </row>
    <row r="45" spans="1:28" ht="8.25" customHeight="1">
      <c r="R45" s="98"/>
    </row>
    <row r="46" spans="1:28" ht="15" customHeight="1">
      <c r="R46" s="759"/>
      <c r="AA46" s="800" t="str">
        <f>IFERROR(VLOOKUP(1,AE13:AG16,3,FALSE),"")</f>
        <v/>
      </c>
    </row>
    <row r="47" spans="1:28" ht="3" customHeight="1">
      <c r="AA47" s="800" t="str">
        <f>IFERROR(VLOOKUP(2,AE13:AG16,3,FALSE),"")</f>
        <v/>
      </c>
    </row>
    <row r="48" spans="1:28" ht="15" customHeight="1">
      <c r="AA48" s="800" t="str">
        <f>IFERROR(VLOOKUP(3,AE13:AG16,3,FALSE),"")</f>
        <v/>
      </c>
    </row>
    <row r="49" spans="27:27" ht="3" customHeight="1">
      <c r="AA49" s="800" t="str">
        <f>IFERROR(VLOOKUP(4,AE13:AG16,3,FALSE),"")</f>
        <v/>
      </c>
    </row>
    <row r="50" spans="27:27" ht="15" customHeight="1"/>
    <row r="51" spans="27:27" ht="8.25" customHeight="1"/>
    <row r="52" spans="27:27" ht="15" customHeight="1"/>
    <row r="53" spans="27:27" ht="3" customHeight="1"/>
    <row r="54" spans="27:27" ht="15" customHeight="1"/>
    <row r="55" spans="27:27" ht="3" customHeight="1"/>
    <row r="56" spans="27:27" ht="15" customHeight="1"/>
  </sheetData>
  <sheetProtection algorithmName="SHA-512" hashValue="Rwi8L0y0FnS4fbh4em+xsfNRwlC2d9sPB2Cg8m4qnzCBkY9zWW3bTyjxNDvhwwBslTddquEnl8XsCgVZokZDmQ==" saltValue="Tz43aeYUVO3LT5fEhaizQA==" spinCount="100000" sheet="1" objects="1" scenarios="1" selectLockedCells="1"/>
  <mergeCells count="50">
    <mergeCell ref="B33:P33"/>
    <mergeCell ref="W41:X41"/>
    <mergeCell ref="B42:I42"/>
    <mergeCell ref="J42:M42"/>
    <mergeCell ref="O27:P27"/>
    <mergeCell ref="A36:I36"/>
    <mergeCell ref="J36:M36"/>
    <mergeCell ref="C38:I38"/>
    <mergeCell ref="J38:M38"/>
    <mergeCell ref="B40:I40"/>
    <mergeCell ref="J40:M40"/>
    <mergeCell ref="O25:P25"/>
    <mergeCell ref="J25:K25"/>
    <mergeCell ref="J31:K31"/>
    <mergeCell ref="O29:P29"/>
    <mergeCell ref="O31:P31"/>
    <mergeCell ref="C14:I14"/>
    <mergeCell ref="E31:I31"/>
    <mergeCell ref="J29:K29"/>
    <mergeCell ref="J27:K27"/>
    <mergeCell ref="L27:N27"/>
    <mergeCell ref="L25:N25"/>
    <mergeCell ref="C27:I27"/>
    <mergeCell ref="C16:I16"/>
    <mergeCell ref="L31:N31"/>
    <mergeCell ref="E29:I29"/>
    <mergeCell ref="L29:N29"/>
    <mergeCell ref="C25:I25"/>
    <mergeCell ref="K1:P1"/>
    <mergeCell ref="N2:P2"/>
    <mergeCell ref="U7:X7"/>
    <mergeCell ref="U6:X6"/>
    <mergeCell ref="O3:P3"/>
    <mergeCell ref="I4:P4"/>
    <mergeCell ref="B9:D9"/>
    <mergeCell ref="J23:K23"/>
    <mergeCell ref="D11:O11"/>
    <mergeCell ref="H8:H10"/>
    <mergeCell ref="F9:G9"/>
    <mergeCell ref="J14:K14"/>
    <mergeCell ref="J20:K20"/>
    <mergeCell ref="J16:K16"/>
    <mergeCell ref="J18:K18"/>
    <mergeCell ref="O23:P23"/>
    <mergeCell ref="A13:I13"/>
    <mergeCell ref="A22:I22"/>
    <mergeCell ref="L23:N23"/>
    <mergeCell ref="C23:I23"/>
    <mergeCell ref="C20:I20"/>
    <mergeCell ref="B18:I18"/>
  </mergeCells>
  <conditionalFormatting sqref="J25 J29">
    <cfRule type="expression" dxfId="272" priority="75">
      <formula>AC16=1</formula>
    </cfRule>
  </conditionalFormatting>
  <conditionalFormatting sqref="J18">
    <cfRule type="expression" dxfId="271" priority="73">
      <formula>Z26=1</formula>
    </cfRule>
  </conditionalFormatting>
  <conditionalFormatting sqref="O29">
    <cfRule type="expression" dxfId="270" priority="252">
      <formula>AC21=1</formula>
    </cfRule>
  </conditionalFormatting>
  <conditionalFormatting sqref="O24">
    <cfRule type="expression" dxfId="269" priority="254">
      <formula>Z31=1</formula>
    </cfRule>
  </conditionalFormatting>
  <conditionalFormatting sqref="U7">
    <cfRule type="expression" dxfId="268" priority="264">
      <formula>#REF!="Input AHP #"</formula>
    </cfRule>
  </conditionalFormatting>
  <conditionalFormatting sqref="I4 E6:M6">
    <cfRule type="expression" dxfId="267" priority="1531">
      <formula>$I$4="Input the project name and AHP Project Number at the top of the 'Instructions' tab."</formula>
    </cfRule>
  </conditionalFormatting>
  <conditionalFormatting sqref="J20:K20 C24 J18:K18 A13 C14 J14:K14 B18 J16:K16 C20 D15 C16">
    <cfRule type="expression" dxfId="266" priority="53">
      <formula>$T$26=2</formula>
    </cfRule>
  </conditionalFormatting>
  <conditionalFormatting sqref="O24">
    <cfRule type="expression" dxfId="265" priority="1563">
      <formula>AC31=1</formula>
    </cfRule>
  </conditionalFormatting>
  <conditionalFormatting sqref="O31">
    <cfRule type="expression" dxfId="264" priority="1565">
      <formula>AC18=1</formula>
    </cfRule>
  </conditionalFormatting>
  <conditionalFormatting sqref="O25">
    <cfRule type="expression" dxfId="263" priority="1569">
      <formula>AC17=1</formula>
    </cfRule>
  </conditionalFormatting>
  <conditionalFormatting sqref="J31">
    <cfRule type="expression" dxfId="262" priority="1571">
      <formula>AC22=1</formula>
    </cfRule>
  </conditionalFormatting>
  <conditionalFormatting sqref="J23">
    <cfRule type="expression" dxfId="261" priority="1577">
      <formula>AC14=1</formula>
    </cfRule>
  </conditionalFormatting>
  <conditionalFormatting sqref="O23">
    <cfRule type="expression" dxfId="260" priority="1579">
      <formula>AC15=1</formula>
    </cfRule>
  </conditionalFormatting>
  <conditionalFormatting sqref="J18">
    <cfRule type="expression" dxfId="259" priority="1583">
      <formula>AC26=1</formula>
    </cfRule>
  </conditionalFormatting>
  <conditionalFormatting sqref="J16">
    <cfRule type="expression" dxfId="258" priority="1585">
      <formula>Z27=1</formula>
    </cfRule>
  </conditionalFormatting>
  <conditionalFormatting sqref="J16">
    <cfRule type="expression" dxfId="257" priority="1589">
      <formula>AC27=1</formula>
    </cfRule>
  </conditionalFormatting>
  <conditionalFormatting sqref="J14">
    <cfRule type="expression" dxfId="256" priority="1591">
      <formula>Z29=1</formula>
    </cfRule>
  </conditionalFormatting>
  <conditionalFormatting sqref="J14">
    <cfRule type="expression" dxfId="255" priority="1595">
      <formula>AC29=1</formula>
    </cfRule>
  </conditionalFormatting>
  <conditionalFormatting sqref="J20">
    <cfRule type="expression" dxfId="254" priority="1596">
      <formula>Z28=1</formula>
    </cfRule>
  </conditionalFormatting>
  <conditionalFormatting sqref="J20">
    <cfRule type="expression" dxfId="253" priority="1599">
      <formula>AC28=1</formula>
    </cfRule>
  </conditionalFormatting>
  <conditionalFormatting sqref="O28 O30 O32">
    <cfRule type="expression" dxfId="252" priority="1600">
      <formula>AC24=1</formula>
    </cfRule>
  </conditionalFormatting>
  <conditionalFormatting sqref="O27">
    <cfRule type="expression" dxfId="251" priority="1602">
      <formula>AC23=1</formula>
    </cfRule>
  </conditionalFormatting>
  <conditionalFormatting sqref="J27:J28">
    <cfRule type="expression" dxfId="250" priority="1603">
      <formula>AC19=1</formula>
    </cfRule>
  </conditionalFormatting>
  <conditionalFormatting sqref="A36:I36">
    <cfRule type="expression" dxfId="249" priority="7">
      <formula>IF(AND($J$36&lt;&gt;"Pick a Source",$J$36&lt;&gt;""),1,0)</formula>
    </cfRule>
  </conditionalFormatting>
  <conditionalFormatting sqref="C38:I38">
    <cfRule type="expression" dxfId="248" priority="6">
      <formula>IF(AND($J$38&lt;&gt;"Pick a Source",$J$38&lt;&gt;""),1,0)</formula>
    </cfRule>
  </conditionalFormatting>
  <conditionalFormatting sqref="B40:I40">
    <cfRule type="expression" dxfId="247" priority="5">
      <formula>IF(AND($J$40&lt;&gt;"Pick a Source",$J$40&lt;&gt;""),1,0)</formula>
    </cfRule>
  </conditionalFormatting>
  <conditionalFormatting sqref="B42:I42">
    <cfRule type="expression" dxfId="246" priority="4">
      <formula>IF(AND($J$42&lt;&gt;"Pick a Source",$J$42&lt;&gt;""),1,0)</formula>
    </cfRule>
  </conditionalFormatting>
  <conditionalFormatting sqref="J40:M40">
    <cfRule type="expression" dxfId="245" priority="9">
      <formula>$W$38=""</formula>
    </cfRule>
  </conditionalFormatting>
  <conditionalFormatting sqref="J42:M42">
    <cfRule type="expression" dxfId="244" priority="10">
      <formula>$W$41=""</formula>
    </cfRule>
  </conditionalFormatting>
  <conditionalFormatting sqref="J36:M36">
    <cfRule type="expression" dxfId="243" priority="11">
      <formula>$W$34=""</formula>
    </cfRule>
  </conditionalFormatting>
  <conditionalFormatting sqref="J38:M38">
    <cfRule type="expression" dxfId="242" priority="12">
      <formula>$W$36=""</formula>
    </cfRule>
  </conditionalFormatting>
  <conditionalFormatting sqref="A22:P31">
    <cfRule type="expression" dxfId="241" priority="3">
      <formula>$D$11="A project type must be selected before completing this worksheet."</formula>
    </cfRule>
  </conditionalFormatting>
  <conditionalFormatting sqref="B33:P33">
    <cfRule type="expression" dxfId="240" priority="1">
      <formula>IF(AND($T$44&gt;0,$V$33=4),1,0)</formula>
    </cfRule>
  </conditionalFormatting>
  <conditionalFormatting sqref="A36:P48">
    <cfRule type="expression" dxfId="239" priority="1604">
      <formula>IF($V$33&lt;4,1,0)</formula>
    </cfRule>
  </conditionalFormatting>
  <dataValidations xWindow="1336" yWindow="399" count="17">
    <dataValidation type="list" allowBlank="1" showInputMessage="1" showErrorMessage="1" error="A &quot;Yes or &quot;No&quot; response is required. Please select &quot;Yes&quot; or &quot;No&quot;." sqref="J28 O28 O32 J16 J18 O30 J20 O24">
      <formula1>$AB$15:$AB$17</formula1>
    </dataValidation>
    <dataValidation type="custom" allowBlank="1" showInputMessage="1" showErrorMessage="1" sqref="O3:P3 I9:P9 G8:O8 C8:E8 E9:F9 B9">
      <formula1>"&lt;0&gt;0"</formula1>
    </dataValidation>
    <dataValidation type="list" allowBlank="1" showInputMessage="1" showErrorMessage="1" error="A &quot;Yes or &quot;No&quot; response is required. Please select &quot;Yes&quot; or &quot;No&quot;." prompt="Select &quot;Yes&quot; if local government funds (i.e. city, county) are a projected source of funds for the project._x000a__x000a_Exclude Federal government program funds such as HOME and CDBG." sqref="O29:P29">
      <formula1>$AB$15:$AB$17</formula1>
    </dataValidation>
    <dataValidation type="list" allowBlank="1" showInputMessage="1" showErrorMessage="1" error="A &quot;Yes or &quot;No&quot; response is required. Please select &quot;Yes&quot; or &quot;No&quot;." prompt="Select &quot;Yes&quot; if other Federal housing programs not listed are a permanent source of funds for the project." sqref="O31:P31">
      <formula1>$AB$15:$AB$17</formula1>
    </dataValidation>
    <dataValidation type="list" allowBlank="1" showInputMessage="1" showErrorMessage="1" error="A &quot;Yes or &quot;No&quot; response is required. Please select &quot;Yes&quot; or &quot;No&quot;." prompt="Select 'Yes' if the project intends to use all, or a portion, of AHP funds to refinance a permanent loan in conjuction with the purchase, construction, or rehabilitation of the project." sqref="J14:K14">
      <formula1>$AB$15:$AB$17</formula1>
    </dataValidation>
    <dataValidation type="list" showInputMessage="1" showErrorMessage="1" error="A &quot;Yes or &quot;No&quot; response is required. Please select &quot;Yes&quot; or &quot;No&quot;." prompt="Select &quot;Yes&quot; if Low‐Income Housing Tax Credits (LIHTCs) are projected to be a permanent source of funds for the project." sqref="O25:P25">
      <formula1>$AB$15:$AB$17</formula1>
    </dataValidation>
    <dataValidation type="list" allowBlank="1" showInputMessage="1" showErrorMessage="1" error="The soucre must be selected from the dropdown." sqref="J42:M42">
      <formula1>IF($W$41&lt;&gt;"",$AA$26:$AA$41,"")</formula1>
    </dataValidation>
    <dataValidation type="list" allowBlank="1" showInputMessage="1" showErrorMessage="1" error="A &quot;Yes or &quot;No&quot; response is required. Please select &quot;Yes&quot; or &quot;No&quot;." prompt="Select &quot;Yes&quot; if state funds are a projected source of funds for the project._x000a__x000a_Exclude Federal government program funds such as HOME and CDBG." sqref="J29:K29">
      <formula1>$AB$15:$AB$17</formula1>
    </dataValidation>
    <dataValidation type="list" allowBlank="1" showInputMessage="1" showErrorMessage="1" error="A &quot;Yes or &quot;No&quot; response is required. Please select &quot;Yes&quot; or &quot;No&quot;." prompt="Select &quot;Yes&quot; if donated funds from non‐governmental sources are a projected source of funds for the project." sqref="J31:K31">
      <formula1>$AB$15:$AB$17</formula1>
    </dataValidation>
    <dataValidation type="list" allowBlank="1" showInputMessage="1" showErrorMessage="1" error="A &quot;Yes or &quot;No&quot; response is required. Please select &quot;Yes&quot; or &quot;No&quot;." prompt="Select &quot;Yes&quot; if the Home Investment Partnership (HOME) Program is projected to be a  permanent source of funds for the project." sqref="J23:K23">
      <formula1>$AB$15:$AB$17</formula1>
    </dataValidation>
    <dataValidation type="list" allowBlank="1" showInputMessage="1" showErrorMessage="1" error="A &quot;Yes or &quot;No&quot; response is required. Please select &quot;Yes&quot; or &quot;No&quot;." prompt="Select &quot;Yes&quot; if the Community Development Block Grants (CDBG) Program is projected to be a permanent source of funds for the project." sqref="O23:P23">
      <formula1>$AB$15:$AB$17</formula1>
    </dataValidation>
    <dataValidation type="list" allowBlank="1" showInputMessage="1" showErrorMessage="1" error="A &quot;Yes or &quot;No&quot; response is required. Please select &quot;Yes&quot; or &quot;No&quot;." prompt="Select &quot;Yes&quot; if the Federal Housing Administration (FHA) is projected to be a permanent source of funds for the project." sqref="J25:K25">
      <formula1>$AB$15:$AB$17</formula1>
    </dataValidation>
    <dataValidation type="list" allowBlank="1" showInputMessage="1" showErrorMessage="1" error="A &quot;Yes or &quot;No&quot; response is required. Please select &quot;Yes&quot; or &quot;No&quot;." prompt="Select &quot;Yes&quot; if tax exempt multifamily rental housing bonds are projected to be a permanent source of funds for the project." sqref="J27:K27">
      <formula1>$AB$15:$AB$17</formula1>
    </dataValidation>
    <dataValidation type="list" allowBlank="1" showInputMessage="1" showErrorMessage="1" error="A &quot;Yes or &quot;No&quot; response is required. Please select &quot;Yes&quot; or &quot;No&quot;." prompt="Select &quot;Yes&quot; if a is a permanent/mortgage loan is being provided to the project by the member." sqref="O27:P27">
      <formula1>$AB$15:$AB$17</formula1>
    </dataValidation>
    <dataValidation type="list" allowBlank="1" showInputMessage="1" showErrorMessage="1" error="The soucre must be selected from the dropdown." sqref="J36:M36">
      <formula1>IF($W$34&lt;&gt;"",$AA$26:$AA$41,"")</formula1>
    </dataValidation>
    <dataValidation type="list" allowBlank="1" showInputMessage="1" showErrorMessage="1" error="The soucre must be selected from the dropdown." sqref="J38:M38">
      <formula1>IF($W$36&lt;&gt;"",$AA$26:$AA$41,"")</formula1>
    </dataValidation>
    <dataValidation type="list" allowBlank="1" showInputMessage="1" showErrorMessage="1" error="The soucre must be selected from the dropdown." sqref="J40:M40">
      <formula1>IF($W$38&lt;&gt;"",$AA$26:$AA$41,"")</formula1>
    </dataValidation>
  </dataValidations>
  <hyperlinks>
    <hyperlink ref="F9" display="Uses_x000a_Statement"/>
    <hyperlink ref="P9" location="'Validation Warnings'!M9" display="'Validation Warnings'!M9"/>
    <hyperlink ref="I9" location="'B-Rent Schedule'!D13" display="'B-Rent Schedule'!D13"/>
    <hyperlink ref="K9" location="'C(2)-Commercial ProForma'!K16" display="'C(2)-Commercial ProForma'!K16"/>
    <hyperlink ref="J9" location="'C(1)-Rental Operating ProForma'!L16" display="'C(1)-Rental Operating ProForma'!L16"/>
    <hyperlink ref="O9" location="'G-Sponsor Provided Financing'!F20" display="'G-Sponsor Provided Financing'!F20"/>
    <hyperlink ref="N9" location="'F-TIV'!Q17" display="'F-TIV'!Q17"/>
    <hyperlink ref="M9" location="'E-Feasibility Analysis'!M22" display="'E-Feasibility Analysis'!M22"/>
    <hyperlink ref="L9" location="'D-Owner-Occ Housing Expense'!D14" display="'D-Owner-Occ Housing Expense'!D14"/>
    <hyperlink ref="B9" display="Project Info. &amp; Instructions"/>
    <hyperlink ref="B9:C9" location="'Project Info and Instructions'!F16" display="Project Info. &amp; Instructions"/>
    <hyperlink ref="E9" location="'A(1)-Sources Stmt.'!D19" display="'A(1)-Sources Stmt.'!D19"/>
    <hyperlink ref="F9:G9" location="'A(2)-Uses Statement'!H12" display="'A(2)-Uses Statement'!H12"/>
  </hyperlinks>
  <printOptions horizontalCentered="1"/>
  <pageMargins left="0.1" right="0.06" top="0.25" bottom="0.37" header="0" footer="0.23"/>
  <pageSetup scale="84" orientation="landscape"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1316" id="{286DE50C-1B89-45C4-9105-9683BBD08AC7}">
            <xm:f>'Project Info and Instructions'!$F$20="Owner-occupied"</xm:f>
            <x14:dxf>
              <font>
                <strike/>
                <color theme="0" tint="-0.34998626667073579"/>
              </font>
              <fill>
                <gradientFill degree="90">
                  <stop position="0">
                    <color theme="0" tint="-0.1490218817712943"/>
                  </stop>
                  <stop position="1">
                    <color theme="0" tint="-0.1490218817712943"/>
                  </stop>
                </gradientFill>
              </fill>
            </x14:dxf>
          </x14:cfRule>
          <xm:sqref>J9</xm:sqref>
        </x14:conditionalFormatting>
        <x14:conditionalFormatting xmlns:xm="http://schemas.microsoft.com/office/excel/2006/main">
          <x14:cfRule type="expression" priority="1317" id="{6A21F5E6-F731-498E-A23A-3768D92AD704}">
            <xm:f>'Project Info and Instructions'!$K$20="No"</xm:f>
            <x14:dxf>
              <font>
                <strike/>
                <color theme="0" tint="-0.34998626667073579"/>
              </font>
              <fill>
                <patternFill>
                  <bgColor theme="0" tint="-0.14996795556505021"/>
                </patternFill>
              </fill>
            </x14:dxf>
          </x14:cfRule>
          <x14:cfRule type="expression" priority="1318" id="{86FC402D-FF1C-44C6-B227-C804AC2949DE}">
            <xm:f>'Project Info and Instructions'!$F$20="Rental"</xm:f>
            <x14:dxf>
              <font>
                <strike/>
                <color theme="0" tint="-0.34998626667073579"/>
              </font>
              <fill>
                <patternFill>
                  <bgColor theme="0" tint="-0.14996795556505021"/>
                </patternFill>
              </fill>
            </x14:dxf>
          </x14:cfRule>
          <xm:sqref>O9</xm:sqref>
        </x14:conditionalFormatting>
        <x14:conditionalFormatting xmlns:xm="http://schemas.microsoft.com/office/excel/2006/main">
          <x14:cfRule type="expression" priority="1319" id="{58E743EC-14B4-42D2-8CF1-6E9B3101FC9D}">
            <xm:f>'Project Info and Instructions'!$F$22="No"</xm:f>
            <x14:dxf>
              <font>
                <strike/>
                <color theme="0" tint="-0.34998626667073579"/>
              </font>
              <fill>
                <patternFill>
                  <bgColor theme="0" tint="-0.14996795556505021"/>
                </patternFill>
              </fill>
            </x14:dxf>
          </x14:cfRule>
          <x14:cfRule type="expression" priority="1320" id="{DC8DA490-05AD-4DDE-B877-8CF97798D8A3}">
            <xm:f>'Project Info and Instructions'!$F$20="Owner-occupied"</xm:f>
            <x14:dxf>
              <font>
                <strike/>
                <color theme="0" tint="-0.34998626667073579"/>
              </font>
              <fill>
                <patternFill>
                  <bgColor theme="0" tint="-0.14996795556505021"/>
                </patternFill>
              </fill>
            </x14:dxf>
          </x14:cfRule>
          <xm:sqref>K9</xm:sqref>
        </x14:conditionalFormatting>
        <x14:conditionalFormatting xmlns:xm="http://schemas.microsoft.com/office/excel/2006/main">
          <x14:cfRule type="expression" priority="1322" id="{17C414E3-05F1-44AF-88FA-387234CDB584}">
            <xm:f>'Project Info and Instructions'!$M$22="Construction"</xm:f>
            <x14:dxf>
              <font>
                <strike/>
                <color theme="0" tint="-0.34998626667073579"/>
              </font>
              <fill>
                <patternFill>
                  <bgColor theme="0" tint="-0.14996795556505021"/>
                </patternFill>
              </fill>
            </x14:dxf>
          </x14:cfRule>
          <x14:cfRule type="expression" priority="1323" id="{7F5E7B8D-803C-46CE-9935-C0FAFC2BBF00}">
            <xm:f>'Project Info and Instructions'!$F$20="Owner-occupied"</xm:f>
            <x14:dxf>
              <font>
                <strike/>
                <color theme="0" tint="-0.34998626667073579"/>
              </font>
              <fill>
                <patternFill>
                  <bgColor theme="0" tint="-0.14996795556505021"/>
                </patternFill>
              </fill>
            </x14:dxf>
          </x14:cfRule>
          <x14:cfRule type="expression" priority="1324" id="{4AC08500-0460-4E35-A7AF-0D0BD2CBB3FB}">
            <xm:f>'Project Info and Instructions'!$Q$22="No"</xm:f>
            <x14:dxf>
              <font>
                <strike/>
                <color theme="0" tint="-0.34998626667073579"/>
              </font>
              <fill>
                <patternFill>
                  <bgColor theme="0" tint="-0.14996795556505021"/>
                </patternFill>
              </fill>
            </x14:dxf>
          </x14:cfRule>
          <xm:sqref>N9</xm:sqref>
        </x14:conditionalFormatting>
        <x14:conditionalFormatting xmlns:xm="http://schemas.microsoft.com/office/excel/2006/main">
          <x14:cfRule type="expression" priority="1325" id="{FAD6AC3D-5BF5-441B-A725-9021D4182C80}">
            <xm:f>'Project Info and Instructions'!$F$20="Rental"</xm:f>
            <x14:dxf>
              <font>
                <strike/>
                <color theme="0" tint="-0.34998626667073579"/>
              </font>
              <fill>
                <patternFill>
                  <bgColor theme="0" tint="-0.14996795556505021"/>
                </patternFill>
              </fill>
            </x14:dxf>
          </x14:cfRule>
          <xm:sqref>L9</xm:sqref>
        </x14:conditionalFormatting>
        <x14:conditionalFormatting xmlns:xm="http://schemas.microsoft.com/office/excel/2006/main">
          <x14:cfRule type="expression" priority="1612" id="{BE480247-5214-4B77-BE57-8B459E01BEF3}">
            <xm:f>'Project Info and Instructions'!$V$50&gt;6</xm:f>
            <x14:dxf>
              <font>
                <strike/>
                <color theme="0" tint="-0.34998626667073579"/>
              </font>
              <fill>
                <gradientFill degree="90">
                  <stop position="0">
                    <color theme="0" tint="-0.1490218817712943"/>
                  </stop>
                  <stop position="1">
                    <color theme="0" tint="-0.1490218817712943"/>
                  </stop>
                </gradientFill>
              </fill>
            </x14:dxf>
          </x14:cfRule>
          <xm:sqref>I9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M120"/>
  <sheetViews>
    <sheetView showGridLines="0" zoomScale="90" zoomScaleNormal="90" zoomScaleSheetLayoutView="100" workbookViewId="0">
      <selection activeCell="D13" sqref="D13:E13"/>
    </sheetView>
  </sheetViews>
  <sheetFormatPr defaultColWidth="9.140625" defaultRowHeight="12.75"/>
  <cols>
    <col min="1" max="1" width="0.28515625" style="49" customWidth="1"/>
    <col min="2" max="2" width="2.28515625" style="15" customWidth="1"/>
    <col min="3" max="3" width="17.5703125" style="15" customWidth="1"/>
    <col min="4" max="4" width="10.85546875" style="15" customWidth="1"/>
    <col min="5" max="5" width="11.28515625" style="15" bestFit="1" customWidth="1"/>
    <col min="6" max="6" width="12.28515625" style="15" customWidth="1"/>
    <col min="7" max="7" width="12.5703125" style="15" customWidth="1"/>
    <col min="8" max="8" width="11.85546875" style="15" customWidth="1"/>
    <col min="9" max="9" width="12" style="15" customWidth="1"/>
    <col min="10" max="10" width="12.5703125" style="15" bestFit="1" customWidth="1"/>
    <col min="11" max="11" width="10.42578125" style="15" bestFit="1" customWidth="1"/>
    <col min="12" max="12" width="12.28515625" style="15" customWidth="1"/>
    <col min="13" max="13" width="11.7109375" style="15" customWidth="1"/>
    <col min="14" max="14" width="12.28515625" style="15" customWidth="1"/>
    <col min="15" max="15" width="11.42578125" style="15" customWidth="1"/>
    <col min="16" max="16" width="13.7109375" style="15" customWidth="1"/>
    <col min="17" max="17" width="13.42578125" style="15" customWidth="1"/>
    <col min="18" max="20" width="13.42578125" hidden="1" customWidth="1"/>
    <col min="21" max="21" width="11.28515625" style="217" hidden="1" customWidth="1"/>
    <col min="22" max="22" width="24" style="97" hidden="1" customWidth="1"/>
    <col min="23" max="23" width="9.140625" style="97" hidden="1" customWidth="1"/>
    <col min="24" max="24" width="15.5703125" style="97" hidden="1" customWidth="1"/>
    <col min="25" max="26" width="9.140625" style="97" hidden="1" customWidth="1"/>
    <col min="27" max="27" width="12.85546875" style="97" hidden="1" customWidth="1"/>
    <col min="28" max="28" width="31.5703125" style="97" hidden="1" customWidth="1"/>
    <col min="29" max="29" width="9.140625" style="97" hidden="1" customWidth="1"/>
    <col min="30" max="30" width="14.7109375" style="97" hidden="1" customWidth="1"/>
    <col min="31" max="31" width="17.5703125" style="97" hidden="1" customWidth="1"/>
    <col min="32" max="32" width="20.85546875" style="97" hidden="1" customWidth="1"/>
    <col min="33" max="34" width="17.5703125" style="97" hidden="1" customWidth="1"/>
    <col min="35" max="35" width="18.7109375" style="97" hidden="1" customWidth="1"/>
    <col min="36" max="37" width="9.140625" style="97" hidden="1" customWidth="1"/>
    <col min="38" max="39" width="9.140625" style="15" hidden="1" customWidth="1"/>
    <col min="40" max="92" width="9.140625" style="15" customWidth="1"/>
    <col min="93" max="16384" width="9.140625" style="15"/>
  </cols>
  <sheetData>
    <row r="1" spans="1:37" ht="15" customHeight="1">
      <c r="O1" s="1937" t="s">
        <v>960</v>
      </c>
      <c r="P1" s="1937"/>
      <c r="Q1" s="1937"/>
    </row>
    <row r="2" spans="1:37" ht="13.5" customHeight="1">
      <c r="P2" s="1833" t="str">
        <f>'Project Info and Instructions'!O2</f>
        <v>Updated January 2018</v>
      </c>
      <c r="Q2" s="1833"/>
    </row>
    <row r="3" spans="1:37" ht="6.75" customHeight="1">
      <c r="Q3" s="494"/>
      <c r="W3" s="97">
        <f>IF(D17&lt;&gt;"",1,0)</f>
        <v>0</v>
      </c>
      <c r="X3" s="97">
        <f>IF(D18&lt;&gt;"",1,0)</f>
        <v>0</v>
      </c>
      <c r="Y3" s="97">
        <f>SUM(W3:X3)</f>
        <v>0</v>
      </c>
    </row>
    <row r="4" spans="1:37" ht="15" customHeight="1">
      <c r="B4" s="49"/>
      <c r="C4" s="49"/>
      <c r="D4" s="49"/>
      <c r="E4" s="49"/>
      <c r="F4" s="49"/>
      <c r="G4" s="49"/>
      <c r="H4" s="1936" t="str">
        <f>IF('Project Info and Instructions'!W35&gt;0,"Input the project name and AHP Project Number at the top of the 'Instructions' tab.",'Project Info and Instructions'!F18&amp;" - "&amp;'Project Info and Instructions'!F16)</f>
        <v>Input the project name and AHP Project Number at the top of the 'Instructions' tab.</v>
      </c>
      <c r="I4" s="1936"/>
      <c r="J4" s="1936"/>
      <c r="K4" s="1936"/>
      <c r="L4" s="1936"/>
      <c r="M4" s="1936"/>
      <c r="N4" s="1936"/>
      <c r="O4" s="1936"/>
      <c r="P4" s="1936"/>
      <c r="Q4" s="1936"/>
    </row>
    <row r="5" spans="1:37" ht="7.5" customHeight="1">
      <c r="B5" s="49"/>
      <c r="C5" s="49"/>
      <c r="D5" s="49"/>
      <c r="E5" s="49"/>
      <c r="F5" s="49"/>
      <c r="G5" s="49"/>
      <c r="V5" s="113">
        <f>'Project Info and Instructions'!$G$16</f>
        <v>0</v>
      </c>
    </row>
    <row r="6" spans="1:37" ht="30.75" customHeight="1">
      <c r="B6" s="13"/>
      <c r="D6" s="146"/>
      <c r="E6" s="146"/>
      <c r="F6" s="146"/>
      <c r="G6" s="146"/>
      <c r="H6" s="146"/>
      <c r="I6" s="146"/>
      <c r="J6" s="146"/>
      <c r="K6" s="146"/>
      <c r="L6" s="146"/>
      <c r="M6" s="146"/>
      <c r="N6" s="146"/>
      <c r="O6" s="146"/>
      <c r="V6" s="113">
        <f>'Project Info and Instructions'!$G$18</f>
        <v>0</v>
      </c>
      <c r="W6" s="97">
        <f>IF(D13&lt;&gt;"",1,0)</f>
        <v>0</v>
      </c>
      <c r="X6" s="97">
        <f>IF(OR(D14="",D14=AA7),0,1)</f>
        <v>0</v>
      </c>
      <c r="Y6" s="97">
        <f>IF(D13="NAHASDA",2,W6+X6)</f>
        <v>0</v>
      </c>
    </row>
    <row r="7" spans="1:37" ht="7.5" customHeight="1">
      <c r="B7" s="13"/>
      <c r="P7" s="146"/>
      <c r="Q7" s="146"/>
      <c r="AA7" s="97" t="s">
        <v>398</v>
      </c>
    </row>
    <row r="8" spans="1:37" ht="3.75" customHeight="1">
      <c r="B8" s="13"/>
      <c r="C8" s="372"/>
      <c r="D8" s="372"/>
      <c r="E8" s="372"/>
      <c r="F8" s="1943" t="s">
        <v>833</v>
      </c>
      <c r="I8" s="601"/>
      <c r="J8" s="601"/>
      <c r="K8" s="601"/>
      <c r="L8" s="601"/>
      <c r="M8" s="601"/>
      <c r="N8" s="601"/>
      <c r="O8" s="601"/>
      <c r="P8" s="601"/>
      <c r="Q8" s="601"/>
      <c r="AB8" s="218" t="s">
        <v>161</v>
      </c>
      <c r="AC8" s="218" t="s">
        <v>190</v>
      </c>
      <c r="AD8" s="218" t="s">
        <v>191</v>
      </c>
      <c r="AE8" s="218" t="s">
        <v>196</v>
      </c>
      <c r="AF8" s="218" t="s">
        <v>240</v>
      </c>
      <c r="AG8" s="218" t="s">
        <v>289</v>
      </c>
      <c r="AH8" s="218" t="s">
        <v>321</v>
      </c>
      <c r="AI8" s="218" t="s">
        <v>197</v>
      </c>
      <c r="AJ8" s="218" t="s">
        <v>374</v>
      </c>
    </row>
    <row r="9" spans="1:37" s="76" customFormat="1" ht="36.75" customHeight="1">
      <c r="A9" s="77"/>
      <c r="B9" s="45"/>
      <c r="C9" s="804" t="s">
        <v>937</v>
      </c>
      <c r="D9" s="1301" t="s">
        <v>838</v>
      </c>
      <c r="E9" s="1301" t="s">
        <v>832</v>
      </c>
      <c r="F9" s="1944"/>
      <c r="G9" s="620" t="s">
        <v>852</v>
      </c>
      <c r="H9" s="1301" t="s">
        <v>834</v>
      </c>
      <c r="I9" s="1301" t="s">
        <v>836</v>
      </c>
      <c r="J9" s="1301" t="s">
        <v>1172</v>
      </c>
      <c r="K9" s="1773" t="s">
        <v>853</v>
      </c>
      <c r="L9" s="1774"/>
      <c r="M9" s="910" t="s">
        <v>855</v>
      </c>
      <c r="R9"/>
      <c r="S9"/>
      <c r="T9"/>
      <c r="U9" s="219"/>
      <c r="V9" s="220"/>
      <c r="W9" s="82"/>
      <c r="X9" s="108" t="s">
        <v>709</v>
      </c>
      <c r="Y9" s="82"/>
      <c r="Z9" s="82"/>
      <c r="AA9" s="82" t="s">
        <v>389</v>
      </c>
      <c r="AB9" s="221" t="s">
        <v>162</v>
      </c>
      <c r="AC9" s="82"/>
      <c r="AD9" s="221" t="s">
        <v>192</v>
      </c>
      <c r="AE9" s="221" t="s">
        <v>197</v>
      </c>
      <c r="AF9" s="221" t="s">
        <v>241</v>
      </c>
      <c r="AG9" s="221" t="s">
        <v>290</v>
      </c>
      <c r="AH9" s="221" t="s">
        <v>322</v>
      </c>
      <c r="AI9" s="221" t="s">
        <v>347</v>
      </c>
      <c r="AJ9" s="221" t="s">
        <v>241</v>
      </c>
      <c r="AK9" s="82"/>
    </row>
    <row r="10" spans="1:37" ht="3" customHeight="1">
      <c r="B10" s="222"/>
      <c r="C10" s="139"/>
      <c r="D10" s="140"/>
      <c r="E10" s="140"/>
      <c r="F10" s="657"/>
      <c r="G10" s="140"/>
      <c r="H10" s="223"/>
      <c r="I10" s="223"/>
      <c r="J10" s="223"/>
      <c r="K10" s="135"/>
      <c r="L10" s="788"/>
      <c r="M10" s="224"/>
      <c r="N10" s="224"/>
      <c r="O10" s="224"/>
      <c r="P10" s="135"/>
      <c r="Q10" s="135"/>
      <c r="V10" s="97">
        <f>COUNTA(D13)</f>
        <v>0</v>
      </c>
      <c r="X10" s="118">
        <f>COUNTIF(D13,"")</f>
        <v>1</v>
      </c>
      <c r="AA10" s="97" t="s">
        <v>190</v>
      </c>
      <c r="AB10" s="218" t="s">
        <v>163</v>
      </c>
      <c r="AD10" s="218" t="s">
        <v>193</v>
      </c>
      <c r="AE10" s="218" t="s">
        <v>198</v>
      </c>
      <c r="AF10" s="218" t="s">
        <v>202</v>
      </c>
      <c r="AG10" s="218" t="s">
        <v>291</v>
      </c>
      <c r="AH10" s="218" t="s">
        <v>323</v>
      </c>
      <c r="AI10" s="218" t="s">
        <v>290</v>
      </c>
      <c r="AJ10" s="218" t="s">
        <v>375</v>
      </c>
    </row>
    <row r="11" spans="1:37" ht="2.25" customHeight="1">
      <c r="B11" s="10"/>
      <c r="C11" s="225"/>
      <c r="D11" s="141"/>
      <c r="E11" s="141"/>
      <c r="F11" s="141"/>
      <c r="G11" s="141"/>
      <c r="H11" s="7"/>
      <c r="I11" s="226"/>
      <c r="K11" s="227"/>
      <c r="L11" s="227"/>
      <c r="M11" s="227"/>
      <c r="N11" s="227"/>
      <c r="O11" s="227"/>
      <c r="AA11" s="97" t="s">
        <v>390</v>
      </c>
      <c r="AB11" s="218" t="s">
        <v>164</v>
      </c>
      <c r="AD11" s="218" t="s">
        <v>194</v>
      </c>
      <c r="AE11" s="218" t="s">
        <v>199</v>
      </c>
      <c r="AF11" s="218" t="s">
        <v>242</v>
      </c>
      <c r="AG11" s="218" t="s">
        <v>292</v>
      </c>
      <c r="AH11" s="218" t="s">
        <v>243</v>
      </c>
      <c r="AI11" s="218" t="s">
        <v>348</v>
      </c>
      <c r="AJ11" s="218" t="s">
        <v>243</v>
      </c>
    </row>
    <row r="12" spans="1:37" ht="16.5" customHeight="1">
      <c r="A12" s="15"/>
      <c r="B12" s="40"/>
      <c r="C12" s="8"/>
      <c r="D12" s="8"/>
      <c r="E12" s="8"/>
      <c r="F12" s="8"/>
      <c r="G12" s="11"/>
      <c r="H12" s="11"/>
      <c r="J12" s="1942" t="str">
        <f>IF(D13="","2016 HUD Income Limits",IF(AND(D13="Not Listed",Y3&lt;2),"2016 HUD Income Limits",IF(AND(D13="Not Listed",D17&lt;&gt;"",D18&lt;&gt;""),"2016 HUD Income Limits for "&amp;V14,IF(AND(Y6=2,D13&lt;&gt;"NAHASDA"),"2016 HUD Income Limits for "&amp;V13,IF(AND(Y6=2,D13="NAHASDA"),"Income Limits for NAHASDA","2016 HUD Income Limits")))))</f>
        <v>2016 HUD Income Limits</v>
      </c>
      <c r="K12" s="1942"/>
      <c r="L12" s="1942"/>
      <c r="M12" s="1942"/>
      <c r="N12" s="1942"/>
      <c r="O12" s="1942"/>
      <c r="P12" s="1942"/>
      <c r="Q12" s="1942"/>
      <c r="V12" s="228" t="s">
        <v>705</v>
      </c>
      <c r="AA12" s="97" t="s">
        <v>391</v>
      </c>
      <c r="AB12" s="218" t="s">
        <v>165</v>
      </c>
      <c r="AD12" s="218" t="s">
        <v>195</v>
      </c>
      <c r="AE12" s="218" t="s">
        <v>200</v>
      </c>
      <c r="AF12" s="218" t="s">
        <v>243</v>
      </c>
      <c r="AG12" s="218" t="s">
        <v>293</v>
      </c>
      <c r="AH12" s="218" t="s">
        <v>324</v>
      </c>
      <c r="AI12" s="218" t="s">
        <v>349</v>
      </c>
      <c r="AJ12" s="218" t="s">
        <v>376</v>
      </c>
    </row>
    <row r="13" spans="1:37" ht="14.25" customHeight="1">
      <c r="A13" s="15"/>
      <c r="B13" s="1796" t="str">
        <f>IF(D13="","Select Project State:","Project State:")</f>
        <v>Select Project State:</v>
      </c>
      <c r="C13" s="1796"/>
      <c r="D13" s="1949"/>
      <c r="E13" s="1951"/>
      <c r="J13" s="1571">
        <v>1</v>
      </c>
      <c r="K13" s="1572">
        <v>2</v>
      </c>
      <c r="L13" s="1573">
        <v>3</v>
      </c>
      <c r="M13" s="1573">
        <v>4</v>
      </c>
      <c r="N13" s="1573">
        <v>5</v>
      </c>
      <c r="O13" s="1573">
        <v>6</v>
      </c>
      <c r="P13" s="1573">
        <v>7</v>
      </c>
      <c r="Q13" s="1574">
        <v>8</v>
      </c>
      <c r="R13" s="808">
        <v>9</v>
      </c>
      <c r="S13" s="808">
        <v>10</v>
      </c>
      <c r="V13" s="118" t="str">
        <f>IF(AND(Y6=2,D13&lt;&gt;"NAHASDA"),D14&amp;", "&amp;D13,IF(AND(Y6=2,D13="NAHASDA"),", "&amp;D13,""))</f>
        <v/>
      </c>
      <c r="AA13" s="97" t="s">
        <v>393</v>
      </c>
      <c r="AB13" s="218" t="s">
        <v>166</v>
      </c>
      <c r="AE13" s="218" t="s">
        <v>201</v>
      </c>
      <c r="AF13" s="218" t="s">
        <v>244</v>
      </c>
      <c r="AG13" s="218" t="s">
        <v>294</v>
      </c>
      <c r="AH13" s="218" t="s">
        <v>325</v>
      </c>
      <c r="AI13" s="218" t="s">
        <v>212</v>
      </c>
      <c r="AJ13" s="218" t="s">
        <v>295</v>
      </c>
    </row>
    <row r="14" spans="1:37" s="76" customFormat="1" ht="14.25" customHeight="1">
      <c r="A14" s="77"/>
      <c r="B14" s="1796" t="str">
        <f>IF(OR(D14="",D14="A state has not been selected."),"Select Project County:","Project County:")</f>
        <v>Select Project County:</v>
      </c>
      <c r="C14" s="1796"/>
      <c r="D14" s="1949"/>
      <c r="E14" s="1950"/>
      <c r="F14" s="1950"/>
      <c r="G14" s="1951"/>
      <c r="I14" s="1575" t="s">
        <v>664</v>
      </c>
      <c r="J14" s="1027" t="str">
        <f>IF($D$13="Not Listed",$M$14*0.7,AC66)</f>
        <v/>
      </c>
      <c r="K14" s="1027" t="str">
        <f>IF($D$13="Not Listed",$M$14*0.8,AD66)</f>
        <v/>
      </c>
      <c r="L14" s="1027" t="str">
        <f>IF($D$13="Not Listed",$M$14*0.9,AE66)</f>
        <v/>
      </c>
      <c r="M14" s="1027" t="str">
        <f>IF($D$13="Not Listed",$M$15*2*0.3,IF(D13="Select a State","",AF66))</f>
        <v/>
      </c>
      <c r="N14" s="1027" t="str">
        <f>IF($D$13="Not Listed",$M$14*1.08,AG66)</f>
        <v/>
      </c>
      <c r="O14" s="1027" t="str">
        <f>IF($D$13="Not Listed",$M$14*1.16,AH66)</f>
        <v/>
      </c>
      <c r="P14" s="1027" t="str">
        <f>IF($D$13="Not Listed",$M$14*1.24,AI66)</f>
        <v/>
      </c>
      <c r="Q14" s="1027" t="str">
        <f>IF($D$13="Not Listed",$M$14*1.32,AJ66)</f>
        <v/>
      </c>
      <c r="R14" s="893" t="str">
        <f>IFERROR(M14*0.08+Q14,"")</f>
        <v/>
      </c>
      <c r="S14" s="893" t="str">
        <f>IFERROR(M14*0.08*2+Q14,"")</f>
        <v/>
      </c>
      <c r="T14"/>
      <c r="U14" s="87"/>
      <c r="V14" s="108" t="str">
        <f>D18&amp;", "&amp;D17</f>
        <v xml:space="preserve">, </v>
      </c>
      <c r="W14" s="82"/>
      <c r="X14" s="82">
        <f>IF(AND(D13&lt;&gt;"NAHASDA",D13&lt;&gt;"Not Listed",D14=""),1,0)</f>
        <v>1</v>
      </c>
      <c r="Y14" s="82"/>
      <c r="Z14" s="82"/>
      <c r="AA14" s="82" t="s">
        <v>394</v>
      </c>
      <c r="AB14" s="221" t="s">
        <v>167</v>
      </c>
      <c r="AC14" s="82"/>
      <c r="AD14" s="82"/>
      <c r="AE14" s="221" t="s">
        <v>202</v>
      </c>
      <c r="AF14" s="221" t="s">
        <v>245</v>
      </c>
      <c r="AG14" s="221" t="s">
        <v>295</v>
      </c>
      <c r="AH14" s="221" t="s">
        <v>326</v>
      </c>
      <c r="AI14" s="221" t="s">
        <v>293</v>
      </c>
      <c r="AJ14" s="221" t="s">
        <v>217</v>
      </c>
      <c r="AK14" s="82"/>
    </row>
    <row r="15" spans="1:37" s="76" customFormat="1" ht="14.25" customHeight="1">
      <c r="A15" s="77"/>
      <c r="B15" s="229"/>
      <c r="C15" s="77"/>
      <c r="I15" s="1576" t="s">
        <v>713</v>
      </c>
      <c r="J15" s="1027" t="str">
        <f>IF($D$13="Not Listed",$M$15*0.7,AC67)</f>
        <v/>
      </c>
      <c r="K15" s="1027" t="str">
        <f>IF($D$13="Not Listed",$M$15*0.8,AD67)</f>
        <v/>
      </c>
      <c r="L15" s="1027" t="str">
        <f>IF($D$13="Not Listed",$M$15*0.9,AE67)</f>
        <v/>
      </c>
      <c r="M15" s="1027" t="str">
        <f>IF($D$13="Not Listed",G19,AF67)</f>
        <v/>
      </c>
      <c r="N15" s="1027" t="str">
        <f>IF($D$13="Not Listed",$M$15*1.08,AG67)</f>
        <v/>
      </c>
      <c r="O15" s="1027" t="str">
        <f>IF($D$13="Not Listed",$M$15*1.16,AH67)</f>
        <v/>
      </c>
      <c r="P15" s="1027" t="str">
        <f>IF($D$13="Not Listed",$M$15*1.24,AI67)</f>
        <v/>
      </c>
      <c r="Q15" s="1027" t="str">
        <f>IF($D$13="Not Listed",$M$15*1.32,AJ67)</f>
        <v/>
      </c>
      <c r="R15" s="893" t="str">
        <f t="shared" ref="R15:R18" si="0">IFERROR(M15*0.08+Q15,"")</f>
        <v/>
      </c>
      <c r="S15" s="893" t="str">
        <f t="shared" ref="S15:S18" si="1">IFERROR(M15*0.08*2+Q15,"")</f>
        <v/>
      </c>
      <c r="T15"/>
      <c r="U15" s="87"/>
      <c r="V15" s="82"/>
      <c r="W15" s="82"/>
      <c r="X15" s="82"/>
      <c r="Y15" s="82"/>
      <c r="Z15" s="82"/>
      <c r="AA15" s="82" t="s">
        <v>392</v>
      </c>
      <c r="AB15" s="221" t="s">
        <v>168</v>
      </c>
      <c r="AC15" s="82"/>
      <c r="AD15" s="82"/>
      <c r="AE15" s="221" t="s">
        <v>203</v>
      </c>
      <c r="AF15" s="221" t="s">
        <v>246</v>
      </c>
      <c r="AG15" s="221" t="s">
        <v>296</v>
      </c>
      <c r="AH15" s="221" t="s">
        <v>327</v>
      </c>
      <c r="AI15" s="221" t="s">
        <v>350</v>
      </c>
      <c r="AJ15" s="221" t="s">
        <v>377</v>
      </c>
      <c r="AK15" s="82"/>
    </row>
    <row r="16" spans="1:37" s="76" customFormat="1" ht="14.25" customHeight="1">
      <c r="A16" s="77"/>
      <c r="B16" s="229"/>
      <c r="C16" s="1940" t="s">
        <v>901</v>
      </c>
      <c r="D16" s="1940"/>
      <c r="E16" s="1940"/>
      <c r="F16" s="1940"/>
      <c r="G16" s="1940"/>
      <c r="I16" s="1576" t="s">
        <v>714</v>
      </c>
      <c r="J16" s="1027" t="str">
        <f>IF($D$13="Not Listed",$M$16*0.7,AC68)</f>
        <v/>
      </c>
      <c r="K16" s="1027" t="str">
        <f>IF($D$13="Not Listed",$M$16*0.8,AD68)</f>
        <v/>
      </c>
      <c r="L16" s="1027" t="str">
        <f>IF($D$13="Not Listed",$M$16*0.9,AE68)</f>
        <v/>
      </c>
      <c r="M16" s="1027" t="str">
        <f>IF($D$13="Not Listed",$M$15*2*0.6,IF(D13="Select a State","",AF68))</f>
        <v/>
      </c>
      <c r="N16" s="1027" t="str">
        <f>IF($D$13="Not Listed",$M$16*1.08,AG68)</f>
        <v/>
      </c>
      <c r="O16" s="1027" t="str">
        <f>IF($D$13="Not Listed",$M$16*1.16,AH68)</f>
        <v/>
      </c>
      <c r="P16" s="1027" t="str">
        <f>IF($D$13="Not Listed",$M$16*1.24,AI68)</f>
        <v/>
      </c>
      <c r="Q16" s="1027" t="str">
        <f>IF($D$13="Not Listed",$M$16*1.32,AJ68)</f>
        <v/>
      </c>
      <c r="R16" s="893" t="str">
        <f t="shared" si="0"/>
        <v/>
      </c>
      <c r="S16" s="893" t="str">
        <f t="shared" si="1"/>
        <v/>
      </c>
      <c r="T16"/>
      <c r="U16" s="87"/>
      <c r="V16" s="82"/>
      <c r="W16" s="82"/>
      <c r="X16" s="82"/>
      <c r="Y16" s="82"/>
      <c r="Z16" s="82"/>
      <c r="AA16" s="82" t="s">
        <v>395</v>
      </c>
      <c r="AB16" s="221" t="s">
        <v>169</v>
      </c>
      <c r="AC16" s="82"/>
      <c r="AD16" s="82"/>
      <c r="AE16" s="221" t="s">
        <v>204</v>
      </c>
      <c r="AF16" s="221" t="s">
        <v>214</v>
      </c>
      <c r="AG16" s="221" t="s">
        <v>297</v>
      </c>
      <c r="AH16" s="221" t="s">
        <v>254</v>
      </c>
      <c r="AI16" s="221" t="s">
        <v>298</v>
      </c>
      <c r="AJ16" s="221" t="s">
        <v>378</v>
      </c>
      <c r="AK16" s="82"/>
    </row>
    <row r="17" spans="1:37" s="76" customFormat="1" ht="14.25" customHeight="1">
      <c r="A17" s="77"/>
      <c r="B17" s="229"/>
      <c r="C17" s="442" t="s">
        <v>807</v>
      </c>
      <c r="D17" s="1945"/>
      <c r="E17" s="1946"/>
      <c r="I17" s="1576" t="s">
        <v>715</v>
      </c>
      <c r="J17" s="1027" t="str">
        <f>IF($D$13="Not Listed",$M$17*0.7,AC69)</f>
        <v/>
      </c>
      <c r="K17" s="1027" t="str">
        <f>IF($D$13="Not Listed",$M$17*0.8,AD69)</f>
        <v/>
      </c>
      <c r="L17" s="1027" t="str">
        <f>IF($D$13="Not Listed",$M$17*0.9,AE69)</f>
        <v/>
      </c>
      <c r="M17" s="1027" t="str">
        <f>IF($D$13="Not Listed",$M$15*2*0.7,IF(D13="Select a State","",AF69))</f>
        <v/>
      </c>
      <c r="N17" s="1027" t="str">
        <f>IF($D$13="Not Listed",$M$17*1.08,AG69)</f>
        <v/>
      </c>
      <c r="O17" s="1027" t="str">
        <f>IF($D$13="Not Listed",$M$17*1.16,AH69)</f>
        <v/>
      </c>
      <c r="P17" s="1027" t="str">
        <f>IF($D$13="Not Listed",$M$17*1.24,AI69)</f>
        <v/>
      </c>
      <c r="Q17" s="1027" t="str">
        <f>IF($D$13="Not Listed",$M$17*1.32,AJ69)</f>
        <v/>
      </c>
      <c r="R17" s="893" t="str">
        <f t="shared" si="0"/>
        <v/>
      </c>
      <c r="S17" s="893" t="str">
        <f t="shared" si="1"/>
        <v/>
      </c>
      <c r="T17"/>
      <c r="U17" s="87"/>
      <c r="V17" s="82"/>
      <c r="W17" s="82"/>
      <c r="X17" s="82"/>
      <c r="Y17" s="82"/>
      <c r="Z17" s="82"/>
      <c r="AA17" s="82" t="s">
        <v>396</v>
      </c>
      <c r="AB17" s="221" t="s">
        <v>170</v>
      </c>
      <c r="AC17" s="82"/>
      <c r="AD17" s="82"/>
      <c r="AE17" s="221" t="s">
        <v>205</v>
      </c>
      <c r="AF17" s="221" t="s">
        <v>247</v>
      </c>
      <c r="AG17" s="221" t="s">
        <v>298</v>
      </c>
      <c r="AH17" s="221" t="s">
        <v>328</v>
      </c>
      <c r="AI17" s="221" t="s">
        <v>351</v>
      </c>
      <c r="AJ17" s="221" t="s">
        <v>379</v>
      </c>
      <c r="AK17" s="82"/>
    </row>
    <row r="18" spans="1:37" s="76" customFormat="1" ht="14.25" customHeight="1">
      <c r="A18" s="77"/>
      <c r="C18" s="442" t="s">
        <v>806</v>
      </c>
      <c r="D18" s="1945"/>
      <c r="E18" s="1947"/>
      <c r="F18" s="1947"/>
      <c r="G18" s="1946"/>
      <c r="I18" s="1577" t="s">
        <v>716</v>
      </c>
      <c r="J18" s="1027" t="str">
        <f>IF($D$13="Not Listed",$M$18*0.7,AC70)</f>
        <v/>
      </c>
      <c r="K18" s="1027" t="str">
        <f>IF($D$13="Not Listed",$M$18*0.8,AD70)</f>
        <v/>
      </c>
      <c r="L18" s="1027" t="str">
        <f>IF($D$13="Not Listed",$M$18*0.9,AE70)</f>
        <v/>
      </c>
      <c r="M18" s="1027" t="str">
        <f>IF($D$13="Not Listed",$M$15*2*0.8,IF(D13="Select a State","",AF70))</f>
        <v/>
      </c>
      <c r="N18" s="1027" t="str">
        <f>IF($D$13="Not Listed",$M$18*1.08,AG70)</f>
        <v/>
      </c>
      <c r="O18" s="1027" t="str">
        <f>IF($D$13="Not Listed",$M$18*1.16,AH70)</f>
        <v/>
      </c>
      <c r="P18" s="1027" t="str">
        <f>IF($D$13="Not Listed",$M$18*1.24,AI70)</f>
        <v/>
      </c>
      <c r="Q18" s="1027" t="str">
        <f>IF($D$13="Not Listed",$M$18*1.32,AJ70)</f>
        <v/>
      </c>
      <c r="R18" s="893" t="str">
        <f t="shared" si="0"/>
        <v/>
      </c>
      <c r="S18" s="893" t="str">
        <f t="shared" si="1"/>
        <v/>
      </c>
      <c r="T18"/>
      <c r="U18" s="229"/>
      <c r="V18" s="230" t="str">
        <f>IF(V10=0,"Select a Project State","")</f>
        <v>Select a Project State</v>
      </c>
      <c r="X18" s="83" t="s">
        <v>16</v>
      </c>
      <c r="Y18" s="82"/>
      <c r="Z18" s="82"/>
      <c r="AA18" s="82" t="s">
        <v>397</v>
      </c>
      <c r="AB18" s="221" t="s">
        <v>171</v>
      </c>
      <c r="AC18" s="82"/>
      <c r="AD18" s="82"/>
      <c r="AE18" s="221" t="s">
        <v>206</v>
      </c>
      <c r="AF18" s="221" t="s">
        <v>248</v>
      </c>
      <c r="AG18" s="221" t="s">
        <v>299</v>
      </c>
      <c r="AH18" s="221" t="s">
        <v>329</v>
      </c>
      <c r="AI18" s="221" t="s">
        <v>216</v>
      </c>
      <c r="AJ18" s="221" t="s">
        <v>380</v>
      </c>
      <c r="AK18" s="82"/>
    </row>
    <row r="19" spans="1:37" s="76" customFormat="1" ht="14.25" customHeight="1">
      <c r="A19" s="77"/>
      <c r="B19" s="1948" t="str">
        <f>IF(AND(D13="Not Listed",D17&lt;&gt;"",D18&lt;&gt;""),"Four Person 50% AMI for "&amp;V14&amp;":","Four Person 50% AMI:")</f>
        <v>Four Person 50% AMI:</v>
      </c>
      <c r="C19" s="1948"/>
      <c r="D19" s="1948"/>
      <c r="E19" s="1948"/>
      <c r="F19" s="1948"/>
      <c r="G19" s="444"/>
      <c r="R19"/>
      <c r="S19"/>
      <c r="T19"/>
      <c r="U19" s="229"/>
      <c r="X19" s="83" t="s">
        <v>934</v>
      </c>
      <c r="Y19" s="82"/>
      <c r="Z19" s="82"/>
      <c r="AA19" s="82" t="s">
        <v>103</v>
      </c>
      <c r="AB19" s="221" t="s">
        <v>172</v>
      </c>
      <c r="AC19" s="82"/>
      <c r="AD19" s="82"/>
      <c r="AE19" s="221" t="s">
        <v>207</v>
      </c>
      <c r="AF19" s="221" t="s">
        <v>249</v>
      </c>
      <c r="AG19" s="221" t="s">
        <v>300</v>
      </c>
      <c r="AH19" s="221" t="s">
        <v>330</v>
      </c>
      <c r="AI19" s="221" t="s">
        <v>254</v>
      </c>
      <c r="AJ19" s="221" t="s">
        <v>227</v>
      </c>
      <c r="AK19" s="82"/>
    </row>
    <row r="20" spans="1:37" s="76" customFormat="1" ht="4.5" customHeight="1">
      <c r="A20" s="77"/>
      <c r="B20" s="229"/>
      <c r="O20" s="226"/>
      <c r="P20" s="226"/>
      <c r="Q20" s="15"/>
      <c r="R20"/>
      <c r="S20"/>
      <c r="T20"/>
      <c r="U20" s="229"/>
      <c r="X20" s="83" t="s">
        <v>935</v>
      </c>
      <c r="Y20" s="82"/>
      <c r="Z20" s="82"/>
      <c r="AA20" s="82" t="s">
        <v>900</v>
      </c>
      <c r="AB20" s="221" t="s">
        <v>173</v>
      </c>
      <c r="AC20" s="82"/>
      <c r="AD20" s="82"/>
      <c r="AE20" s="221" t="s">
        <v>208</v>
      </c>
      <c r="AF20" s="221" t="s">
        <v>250</v>
      </c>
      <c r="AG20" s="221" t="s">
        <v>301</v>
      </c>
      <c r="AH20" s="221" t="s">
        <v>331</v>
      </c>
      <c r="AI20" s="221" t="s">
        <v>300</v>
      </c>
      <c r="AJ20" s="221" t="s">
        <v>381</v>
      </c>
      <c r="AK20" s="82"/>
    </row>
    <row r="21" spans="1:37" s="76" customFormat="1" ht="1.5" customHeight="1">
      <c r="A21" s="77"/>
      <c r="B21" s="229"/>
      <c r="R21"/>
      <c r="S21"/>
      <c r="T21"/>
      <c r="U21" s="229"/>
      <c r="X21" s="83" t="s">
        <v>936</v>
      </c>
      <c r="Y21" s="82"/>
      <c r="Z21" s="82"/>
      <c r="AA21" s="82"/>
      <c r="AB21" s="221" t="s">
        <v>174</v>
      </c>
      <c r="AC21" s="82"/>
      <c r="AD21" s="82"/>
      <c r="AE21" s="221" t="s">
        <v>209</v>
      </c>
      <c r="AF21" s="221" t="s">
        <v>251</v>
      </c>
      <c r="AG21" s="221" t="s">
        <v>302</v>
      </c>
      <c r="AH21" s="221" t="s">
        <v>332</v>
      </c>
      <c r="AI21" s="221" t="s">
        <v>352</v>
      </c>
      <c r="AJ21" s="221" t="s">
        <v>382</v>
      </c>
      <c r="AK21" s="82"/>
    </row>
    <row r="22" spans="1:37" s="76" customFormat="1" ht="1.5" customHeight="1">
      <c r="A22" s="77"/>
      <c r="B22" s="229"/>
      <c r="R22"/>
      <c r="S22"/>
      <c r="T22"/>
      <c r="X22" s="83" t="s">
        <v>33</v>
      </c>
      <c r="Z22" s="82"/>
      <c r="AA22" s="82"/>
      <c r="AB22" s="221" t="s">
        <v>175</v>
      </c>
      <c r="AC22" s="82"/>
      <c r="AD22" s="82"/>
      <c r="AE22" s="221" t="s">
        <v>210</v>
      </c>
      <c r="AF22" s="221" t="s">
        <v>252</v>
      </c>
      <c r="AG22" s="221" t="s">
        <v>303</v>
      </c>
      <c r="AH22" s="221" t="s">
        <v>333</v>
      </c>
      <c r="AI22" s="221" t="s">
        <v>353</v>
      </c>
      <c r="AJ22" s="221" t="s">
        <v>268</v>
      </c>
      <c r="AK22" s="82"/>
    </row>
    <row r="23" spans="1:37" s="76" customFormat="1" ht="1.5" customHeight="1">
      <c r="A23" s="77"/>
      <c r="B23" s="229"/>
      <c r="J23" s="231"/>
      <c r="K23" s="231"/>
      <c r="L23" s="231"/>
      <c r="R23"/>
      <c r="S23"/>
      <c r="T23"/>
      <c r="Z23" s="82"/>
      <c r="AA23" s="82"/>
      <c r="AB23" s="221" t="s">
        <v>176</v>
      </c>
      <c r="AC23" s="82"/>
      <c r="AD23" s="82"/>
      <c r="AE23" s="221" t="s">
        <v>211</v>
      </c>
      <c r="AF23" s="221" t="s">
        <v>253</v>
      </c>
      <c r="AG23" s="221" t="s">
        <v>221</v>
      </c>
      <c r="AH23" s="221" t="s">
        <v>334</v>
      </c>
      <c r="AI23" s="221" t="s">
        <v>221</v>
      </c>
      <c r="AJ23" s="221" t="s">
        <v>383</v>
      </c>
      <c r="AK23" s="82"/>
    </row>
    <row r="24" spans="1:37" s="76" customFormat="1" ht="1.5" customHeight="1">
      <c r="A24" s="77"/>
      <c r="B24" s="229"/>
      <c r="J24" s="232"/>
      <c r="R24"/>
      <c r="S24"/>
      <c r="T24"/>
      <c r="Z24" s="82"/>
      <c r="AA24" s="82"/>
      <c r="AB24" s="221" t="s">
        <v>177</v>
      </c>
      <c r="AC24" s="82"/>
      <c r="AD24" s="82"/>
      <c r="AE24" s="221" t="s">
        <v>212</v>
      </c>
      <c r="AF24" s="221" t="s">
        <v>254</v>
      </c>
      <c r="AG24" s="221" t="s">
        <v>304</v>
      </c>
      <c r="AH24" s="221" t="s">
        <v>335</v>
      </c>
      <c r="AI24" s="221" t="s">
        <v>354</v>
      </c>
      <c r="AJ24" s="221" t="s">
        <v>280</v>
      </c>
      <c r="AK24" s="82"/>
    </row>
    <row r="25" spans="1:37" s="76" customFormat="1" ht="1.5" customHeight="1">
      <c r="A25" s="77"/>
      <c r="B25" s="229"/>
      <c r="R25"/>
      <c r="S25"/>
      <c r="T25"/>
      <c r="U25" s="229"/>
      <c r="W25" s="82"/>
      <c r="X25" s="82"/>
      <c r="Y25" s="82"/>
      <c r="Z25" s="82"/>
      <c r="AA25" s="82"/>
      <c r="AB25" s="221" t="s">
        <v>178</v>
      </c>
      <c r="AC25" s="82"/>
      <c r="AD25" s="82"/>
      <c r="AE25" s="221" t="s">
        <v>213</v>
      </c>
      <c r="AF25" s="221" t="s">
        <v>255</v>
      </c>
      <c r="AG25" s="221" t="s">
        <v>305</v>
      </c>
      <c r="AH25" s="221" t="s">
        <v>336</v>
      </c>
      <c r="AI25" s="221" t="s">
        <v>355</v>
      </c>
      <c r="AJ25" s="221" t="s">
        <v>384</v>
      </c>
      <c r="AK25" s="82"/>
    </row>
    <row r="26" spans="1:37" ht="1.5" customHeight="1">
      <c r="A26" s="77"/>
      <c r="B26" s="229"/>
      <c r="U26" s="229"/>
      <c r="AB26" s="218" t="s">
        <v>179</v>
      </c>
      <c r="AE26" s="218" t="s">
        <v>214</v>
      </c>
      <c r="AF26" s="218" t="s">
        <v>256</v>
      </c>
      <c r="AG26" s="218" t="s">
        <v>260</v>
      </c>
      <c r="AH26" s="218" t="s">
        <v>337</v>
      </c>
      <c r="AI26" s="218" t="s">
        <v>356</v>
      </c>
      <c r="AJ26" s="218" t="s">
        <v>385</v>
      </c>
    </row>
    <row r="27" spans="1:37" ht="15" customHeight="1">
      <c r="B27" s="13"/>
      <c r="C27" s="1941" t="s">
        <v>665</v>
      </c>
      <c r="D27" s="1941"/>
      <c r="E27" s="199"/>
      <c r="F27" s="199"/>
      <c r="G27" s="1939" t="str">
        <f>IF(Q62&lt;0.2,"At least 20 percent of total units must be reserved for households at or below 50 percent AMI in order to be eligible for AHP","")</f>
        <v/>
      </c>
      <c r="H27" s="1939"/>
      <c r="I27" s="1939"/>
      <c r="J27" s="1939"/>
      <c r="K27" s="1939"/>
      <c r="L27" s="1939"/>
      <c r="M27" s="1939"/>
      <c r="N27" s="1939"/>
      <c r="O27" s="1939"/>
      <c r="P27" s="1939"/>
      <c r="Q27" s="1939"/>
      <c r="U27" s="76"/>
      <c r="AB27" s="218" t="s">
        <v>180</v>
      </c>
      <c r="AE27" s="218" t="s">
        <v>215</v>
      </c>
      <c r="AF27" s="218" t="s">
        <v>257</v>
      </c>
      <c r="AG27" s="218" t="s">
        <v>306</v>
      </c>
      <c r="AH27" s="218" t="s">
        <v>338</v>
      </c>
      <c r="AI27" s="218" t="s">
        <v>357</v>
      </c>
      <c r="AJ27" s="218" t="s">
        <v>236</v>
      </c>
    </row>
    <row r="28" spans="1:37" ht="48.75" customHeight="1">
      <c r="C28" s="1564" t="s">
        <v>957</v>
      </c>
      <c r="D28" s="1566" t="s">
        <v>153</v>
      </c>
      <c r="E28" s="1566" t="s">
        <v>970</v>
      </c>
      <c r="F28" s="1566" t="s">
        <v>808</v>
      </c>
      <c r="G28" s="1566" t="s">
        <v>712</v>
      </c>
      <c r="H28" s="1566" t="s">
        <v>159</v>
      </c>
      <c r="I28" s="1566" t="s">
        <v>711</v>
      </c>
      <c r="J28" s="1566" t="s">
        <v>662</v>
      </c>
      <c r="K28" s="1566" t="s">
        <v>679</v>
      </c>
      <c r="L28" s="1566" t="s">
        <v>48</v>
      </c>
      <c r="M28" s="1566" t="s">
        <v>50</v>
      </c>
      <c r="N28" s="1566" t="s">
        <v>59</v>
      </c>
      <c r="O28" s="1566" t="s">
        <v>663</v>
      </c>
      <c r="P28" s="1566" t="s">
        <v>51</v>
      </c>
      <c r="Q28" s="1567" t="s">
        <v>119</v>
      </c>
      <c r="U28" s="76"/>
      <c r="V28" s="76"/>
      <c r="AB28" s="218" t="s">
        <v>181</v>
      </c>
      <c r="AE28" s="218" t="s">
        <v>216</v>
      </c>
      <c r="AF28" s="218" t="s">
        <v>258</v>
      </c>
      <c r="AG28" s="218" t="s">
        <v>227</v>
      </c>
      <c r="AH28" s="218" t="s">
        <v>339</v>
      </c>
      <c r="AI28" s="218" t="s">
        <v>226</v>
      </c>
      <c r="AJ28" s="218" t="s">
        <v>386</v>
      </c>
    </row>
    <row r="29" spans="1:37" ht="14.25" customHeight="1">
      <c r="C29" s="1196"/>
      <c r="D29" s="1197"/>
      <c r="E29" s="1197"/>
      <c r="F29" s="1198"/>
      <c r="G29" s="1198"/>
      <c r="H29" s="1199">
        <f>F29-G29</f>
        <v>0</v>
      </c>
      <c r="I29" s="1200"/>
      <c r="J29" s="1199">
        <f>E29*F29</f>
        <v>0</v>
      </c>
      <c r="K29" s="1201"/>
      <c r="L29" s="1199" t="str">
        <f>IFERROR(VLOOKUP(C29,$I$13:$S$18, MATCH( K29,$I$13:$S$13,0), FALSE),"")</f>
        <v/>
      </c>
      <c r="M29" s="1202" t="str">
        <f>IFERROR(IF(L29&lt;&gt;"",(+G29*12/L29),""),"")</f>
        <v/>
      </c>
      <c r="N29" s="1199" t="str">
        <f>IFERROR(HLOOKUP(K29,$I$13:$S$18,3)*2,"")</f>
        <v/>
      </c>
      <c r="O29" s="1203"/>
      <c r="P29" s="1199">
        <f>O29+G29</f>
        <v>0</v>
      </c>
      <c r="Q29" s="1204" t="str">
        <f>IFERROR(ROUND(P29*12/L29,2),M29)</f>
        <v/>
      </c>
      <c r="T29">
        <f>IF(I29="",1,IF(AND(I29&lt;&gt;"",H29&lt;&gt;0),1,IF(I29="None",1,IF(AND(I29&lt;&gt;"",H29=0),0,1))))</f>
        <v>1</v>
      </c>
      <c r="U29" s="76"/>
      <c r="V29" s="76"/>
      <c r="W29" s="233" t="s">
        <v>707</v>
      </c>
      <c r="X29" s="234" t="s">
        <v>706</v>
      </c>
      <c r="AB29" s="218" t="s">
        <v>182</v>
      </c>
      <c r="AE29" s="218" t="s">
        <v>217</v>
      </c>
      <c r="AF29" s="218" t="s">
        <v>221</v>
      </c>
      <c r="AG29" s="218" t="s">
        <v>307</v>
      </c>
      <c r="AH29" s="218" t="s">
        <v>340</v>
      </c>
      <c r="AI29" s="218" t="s">
        <v>227</v>
      </c>
      <c r="AJ29" s="218" t="s">
        <v>387</v>
      </c>
    </row>
    <row r="30" spans="1:37" ht="14.25" customHeight="1">
      <c r="C30" s="251"/>
      <c r="D30" s="252"/>
      <c r="E30" s="252"/>
      <c r="F30" s="129"/>
      <c r="G30" s="129"/>
      <c r="H30" s="1028">
        <f t="shared" ref="H30:H50" si="2">F30-G30</f>
        <v>0</v>
      </c>
      <c r="I30" s="256"/>
      <c r="J30" s="1028">
        <f t="shared" ref="J30:J50" si="3">E30*F30</f>
        <v>0</v>
      </c>
      <c r="K30" s="257"/>
      <c r="L30" s="1028" t="str">
        <f t="shared" ref="L30:L50" si="4">IFERROR(VLOOKUP(C30,$I$13:$S$18, MATCH( K30,$I$13:$S$13,0), FALSE),"")</f>
        <v/>
      </c>
      <c r="M30" s="1036" t="str">
        <f>IFERROR(IF(L30&lt;&gt;"",(+G30*12/L30),""),"")</f>
        <v/>
      </c>
      <c r="N30" s="1028" t="str">
        <f t="shared" ref="N30:N48" si="5">IFERROR(HLOOKUP(K30,$I$13:$S$18,3)*2,"")</f>
        <v/>
      </c>
      <c r="O30" s="128"/>
      <c r="P30" s="1028">
        <f>O30+G30</f>
        <v>0</v>
      </c>
      <c r="Q30" s="1029" t="str">
        <f t="shared" ref="Q30:Q50" si="6">IFERROR(ROUND(P30*12/L30,2),M30)</f>
        <v/>
      </c>
      <c r="T30" s="797">
        <f t="shared" ref="T30:T54" si="7">IF(I30="",1,IF(AND(I30&lt;&gt;"",H30&lt;&gt;0),1,IF(I30="None",1,IF(AND(I30&lt;&gt;"",H30=0),0,1))))</f>
        <v>1</v>
      </c>
      <c r="U30" s="76"/>
      <c r="V30" s="76"/>
      <c r="W30" s="107" t="str">
        <f t="shared" ref="W30:W52" si="8">IF(D30=$AC$47,0,IF(D29=$AC$48,0,IF(D29=$AC$49,1,IF(D29=$AC$50,2,IF(D29=$AC$51,3,IF(D29=$AC$52,4,IF(D29=$AC$53,5,"0")))))))</f>
        <v>0</v>
      </c>
      <c r="X30" s="235">
        <f t="shared" ref="X30:X51" si="9">IF(C29=$AB$47,1,IF(C29=$AB$48,2,IF(C29=$AB$49,3,IF(C29=$AB$50,4,IF(C29=$AB$51,5,IF(C29=$AB$52,6,0))))))</f>
        <v>0</v>
      </c>
      <c r="AB30" s="218" t="s">
        <v>183</v>
      </c>
      <c r="AE30" s="218" t="s">
        <v>218</v>
      </c>
      <c r="AF30" s="218" t="s">
        <v>259</v>
      </c>
      <c r="AG30" s="218" t="s">
        <v>308</v>
      </c>
      <c r="AH30" s="218" t="s">
        <v>341</v>
      </c>
      <c r="AI30" s="218" t="s">
        <v>358</v>
      </c>
      <c r="AJ30" s="218" t="s">
        <v>388</v>
      </c>
    </row>
    <row r="31" spans="1:37" ht="14.25" customHeight="1">
      <c r="A31" s="126"/>
      <c r="C31" s="251"/>
      <c r="D31" s="252"/>
      <c r="E31" s="252"/>
      <c r="F31" s="129"/>
      <c r="G31" s="129"/>
      <c r="H31" s="1028">
        <f t="shared" si="2"/>
        <v>0</v>
      </c>
      <c r="I31" s="256"/>
      <c r="J31" s="1028">
        <f t="shared" si="3"/>
        <v>0</v>
      </c>
      <c r="K31" s="257"/>
      <c r="L31" s="1028" t="str">
        <f t="shared" si="4"/>
        <v/>
      </c>
      <c r="M31" s="1036" t="str">
        <f t="shared" ref="M31:M50" si="10">IFERROR(IF(L31&lt;&gt;"",(+G31*12/L31),""),"")</f>
        <v/>
      </c>
      <c r="N31" s="1028" t="str">
        <f t="shared" si="5"/>
        <v/>
      </c>
      <c r="O31" s="128"/>
      <c r="P31" s="1028">
        <f>O31+G31</f>
        <v>0</v>
      </c>
      <c r="Q31" s="1029" t="str">
        <f t="shared" si="6"/>
        <v/>
      </c>
      <c r="T31" s="797">
        <f t="shared" si="7"/>
        <v>1</v>
      </c>
      <c r="U31" s="76"/>
      <c r="V31" s="74"/>
      <c r="W31" s="107" t="str">
        <f t="shared" si="8"/>
        <v>0</v>
      </c>
      <c r="X31" s="235">
        <f t="shared" si="9"/>
        <v>0</v>
      </c>
      <c r="AB31" s="218" t="s">
        <v>184</v>
      </c>
      <c r="AE31" s="218" t="s">
        <v>219</v>
      </c>
      <c r="AF31" s="218" t="s">
        <v>260</v>
      </c>
      <c r="AG31" s="218" t="s">
        <v>309</v>
      </c>
      <c r="AH31" s="218" t="s">
        <v>342</v>
      </c>
      <c r="AI31" s="218" t="s">
        <v>359</v>
      </c>
    </row>
    <row r="32" spans="1:37" ht="14.25" customHeight="1">
      <c r="C32" s="253"/>
      <c r="D32" s="252"/>
      <c r="E32" s="252"/>
      <c r="F32" s="129"/>
      <c r="G32" s="129"/>
      <c r="H32" s="1028">
        <f t="shared" si="2"/>
        <v>0</v>
      </c>
      <c r="I32" s="256"/>
      <c r="J32" s="1028">
        <f t="shared" si="3"/>
        <v>0</v>
      </c>
      <c r="K32" s="257"/>
      <c r="L32" s="1028" t="str">
        <f t="shared" si="4"/>
        <v/>
      </c>
      <c r="M32" s="1036" t="str">
        <f t="shared" si="10"/>
        <v/>
      </c>
      <c r="N32" s="1028" t="str">
        <f t="shared" si="5"/>
        <v/>
      </c>
      <c r="O32" s="128"/>
      <c r="P32" s="1028">
        <f>O32+G32</f>
        <v>0</v>
      </c>
      <c r="Q32" s="1029" t="str">
        <f t="shared" si="6"/>
        <v/>
      </c>
      <c r="T32" s="797">
        <f t="shared" si="7"/>
        <v>1</v>
      </c>
      <c r="U32" s="76"/>
      <c r="W32" s="107" t="str">
        <f t="shared" si="8"/>
        <v>0</v>
      </c>
      <c r="X32" s="235">
        <f t="shared" si="9"/>
        <v>0</v>
      </c>
      <c r="Y32" s="98"/>
      <c r="Z32" s="98"/>
      <c r="AB32" s="218" t="s">
        <v>185</v>
      </c>
      <c r="AE32" s="218" t="s">
        <v>220</v>
      </c>
      <c r="AF32" s="218" t="s">
        <v>261</v>
      </c>
      <c r="AG32" s="218" t="s">
        <v>310</v>
      </c>
      <c r="AH32" s="218" t="s">
        <v>343</v>
      </c>
      <c r="AI32" s="218" t="s">
        <v>360</v>
      </c>
    </row>
    <row r="33" spans="1:37" ht="14.25" customHeight="1">
      <c r="C33" s="253"/>
      <c r="D33" s="252"/>
      <c r="E33" s="252"/>
      <c r="F33" s="129"/>
      <c r="G33" s="129"/>
      <c r="H33" s="1028">
        <f t="shared" si="2"/>
        <v>0</v>
      </c>
      <c r="I33" s="256"/>
      <c r="J33" s="1028">
        <f t="shared" si="3"/>
        <v>0</v>
      </c>
      <c r="K33" s="257"/>
      <c r="L33" s="1028" t="str">
        <f t="shared" si="4"/>
        <v/>
      </c>
      <c r="M33" s="1036" t="str">
        <f t="shared" si="10"/>
        <v/>
      </c>
      <c r="N33" s="1028" t="str">
        <f t="shared" si="5"/>
        <v/>
      </c>
      <c r="O33" s="128"/>
      <c r="P33" s="1028">
        <f t="shared" ref="P33:P50" si="11">O33+G33</f>
        <v>0</v>
      </c>
      <c r="Q33" s="1029" t="str">
        <f t="shared" si="6"/>
        <v/>
      </c>
      <c r="T33" s="797">
        <f t="shared" si="7"/>
        <v>1</v>
      </c>
      <c r="U33" s="76"/>
      <c r="W33" s="107" t="str">
        <f t="shared" si="8"/>
        <v>0</v>
      </c>
      <c r="X33" s="235">
        <f t="shared" si="9"/>
        <v>0</v>
      </c>
      <c r="AB33" s="218" t="s">
        <v>186</v>
      </c>
      <c r="AE33" s="218" t="s">
        <v>221</v>
      </c>
      <c r="AF33" s="218" t="s">
        <v>262</v>
      </c>
      <c r="AG33" s="218" t="s">
        <v>311</v>
      </c>
      <c r="AH33" s="218" t="s">
        <v>344</v>
      </c>
      <c r="AI33" s="218" t="s">
        <v>361</v>
      </c>
    </row>
    <row r="34" spans="1:37" ht="14.25" customHeight="1">
      <c r="C34" s="253"/>
      <c r="D34" s="252"/>
      <c r="E34" s="252"/>
      <c r="F34" s="129"/>
      <c r="G34" s="129"/>
      <c r="H34" s="1028">
        <f t="shared" si="2"/>
        <v>0</v>
      </c>
      <c r="I34" s="256"/>
      <c r="J34" s="1028">
        <f t="shared" si="3"/>
        <v>0</v>
      </c>
      <c r="K34" s="257"/>
      <c r="L34" s="1028" t="str">
        <f>IFERROR(VLOOKUP(C34,$I$13:$S$18, MATCH( K34,$I$13:$S$13,0), FALSE),"")</f>
        <v/>
      </c>
      <c r="M34" s="1036" t="str">
        <f t="shared" si="10"/>
        <v/>
      </c>
      <c r="N34" s="1028" t="str">
        <f t="shared" si="5"/>
        <v/>
      </c>
      <c r="O34" s="128"/>
      <c r="P34" s="1028">
        <f t="shared" si="11"/>
        <v>0</v>
      </c>
      <c r="Q34" s="1029" t="str">
        <f t="shared" si="6"/>
        <v/>
      </c>
      <c r="T34" s="797">
        <f t="shared" si="7"/>
        <v>1</v>
      </c>
      <c r="U34" s="76"/>
      <c r="W34" s="107" t="str">
        <f t="shared" si="8"/>
        <v>0</v>
      </c>
      <c r="X34" s="235">
        <f t="shared" si="9"/>
        <v>0</v>
      </c>
      <c r="AB34" s="218" t="s">
        <v>187</v>
      </c>
      <c r="AE34" s="218" t="s">
        <v>222</v>
      </c>
      <c r="AF34" s="218" t="s">
        <v>227</v>
      </c>
      <c r="AG34" s="218" t="s">
        <v>312</v>
      </c>
      <c r="AH34" s="218" t="s">
        <v>239</v>
      </c>
      <c r="AI34" s="218" t="s">
        <v>362</v>
      </c>
    </row>
    <row r="35" spans="1:37" ht="14.25" customHeight="1">
      <c r="C35" s="253"/>
      <c r="D35" s="252"/>
      <c r="E35" s="252"/>
      <c r="F35" s="129"/>
      <c r="G35" s="129"/>
      <c r="H35" s="1028">
        <f t="shared" si="2"/>
        <v>0</v>
      </c>
      <c r="I35" s="256"/>
      <c r="J35" s="1028">
        <f t="shared" si="3"/>
        <v>0</v>
      </c>
      <c r="K35" s="257"/>
      <c r="L35" s="1028" t="str">
        <f t="shared" si="4"/>
        <v/>
      </c>
      <c r="M35" s="1036" t="str">
        <f t="shared" si="10"/>
        <v/>
      </c>
      <c r="N35" s="1028" t="str">
        <f t="shared" si="5"/>
        <v/>
      </c>
      <c r="O35" s="128"/>
      <c r="P35" s="1028">
        <f t="shared" si="11"/>
        <v>0</v>
      </c>
      <c r="Q35" s="1029" t="str">
        <f t="shared" si="6"/>
        <v/>
      </c>
      <c r="T35" s="797">
        <f t="shared" si="7"/>
        <v>1</v>
      </c>
      <c r="U35" s="76"/>
      <c r="W35" s="107" t="str">
        <f t="shared" si="8"/>
        <v>0</v>
      </c>
      <c r="X35" s="235">
        <f t="shared" si="9"/>
        <v>0</v>
      </c>
      <c r="AB35" s="218" t="s">
        <v>188</v>
      </c>
      <c r="AE35" s="218" t="s">
        <v>223</v>
      </c>
      <c r="AF35" s="218" t="s">
        <v>263</v>
      </c>
      <c r="AG35" s="218" t="s">
        <v>313</v>
      </c>
      <c r="AH35" s="218" t="s">
        <v>345</v>
      </c>
      <c r="AI35" s="218" t="s">
        <v>337</v>
      </c>
    </row>
    <row r="36" spans="1:37" s="124" customFormat="1" ht="14.25" customHeight="1">
      <c r="A36" s="49"/>
      <c r="B36" s="15"/>
      <c r="C36" s="253"/>
      <c r="D36" s="252"/>
      <c r="E36" s="252"/>
      <c r="F36" s="129"/>
      <c r="G36" s="129"/>
      <c r="H36" s="1028">
        <f t="shared" si="2"/>
        <v>0</v>
      </c>
      <c r="I36" s="256"/>
      <c r="J36" s="1028">
        <f t="shared" si="3"/>
        <v>0</v>
      </c>
      <c r="K36" s="257"/>
      <c r="L36" s="1028" t="str">
        <f t="shared" si="4"/>
        <v/>
      </c>
      <c r="M36" s="1036" t="str">
        <f t="shared" si="10"/>
        <v/>
      </c>
      <c r="N36" s="1028" t="str">
        <f t="shared" si="5"/>
        <v/>
      </c>
      <c r="O36" s="128"/>
      <c r="P36" s="1028">
        <f t="shared" si="11"/>
        <v>0</v>
      </c>
      <c r="Q36" s="1029" t="str">
        <f t="shared" si="6"/>
        <v/>
      </c>
      <c r="R36"/>
      <c r="S36"/>
      <c r="T36" s="797">
        <f t="shared" si="7"/>
        <v>1</v>
      </c>
      <c r="U36" s="76"/>
      <c r="V36" s="97"/>
      <c r="W36" s="107" t="str">
        <f t="shared" si="8"/>
        <v>0</v>
      </c>
      <c r="X36" s="235">
        <f t="shared" si="9"/>
        <v>0</v>
      </c>
      <c r="Y36" s="97"/>
      <c r="Z36" s="97"/>
      <c r="AA36" s="98"/>
      <c r="AB36" s="218" t="s">
        <v>189</v>
      </c>
      <c r="AC36" s="98"/>
      <c r="AD36" s="98"/>
      <c r="AE36" s="218" t="s">
        <v>224</v>
      </c>
      <c r="AF36" s="218" t="s">
        <v>228</v>
      </c>
      <c r="AG36" s="218" t="s">
        <v>314</v>
      </c>
      <c r="AH36" s="218" t="s">
        <v>346</v>
      </c>
      <c r="AI36" s="218" t="s">
        <v>363</v>
      </c>
      <c r="AJ36" s="98"/>
      <c r="AK36" s="98"/>
    </row>
    <row r="37" spans="1:37" ht="14.25" customHeight="1">
      <c r="C37" s="253"/>
      <c r="D37" s="252"/>
      <c r="E37" s="252"/>
      <c r="F37" s="129"/>
      <c r="G37" s="129"/>
      <c r="H37" s="1028">
        <f t="shared" si="2"/>
        <v>0</v>
      </c>
      <c r="I37" s="256"/>
      <c r="J37" s="1028">
        <f t="shared" si="3"/>
        <v>0</v>
      </c>
      <c r="K37" s="257"/>
      <c r="L37" s="1028" t="str">
        <f t="shared" si="4"/>
        <v/>
      </c>
      <c r="M37" s="1036" t="str">
        <f t="shared" si="10"/>
        <v/>
      </c>
      <c r="N37" s="1028" t="str">
        <f t="shared" si="5"/>
        <v/>
      </c>
      <c r="O37" s="128"/>
      <c r="P37" s="1028">
        <f t="shared" si="11"/>
        <v>0</v>
      </c>
      <c r="Q37" s="1029" t="str">
        <f t="shared" si="6"/>
        <v/>
      </c>
      <c r="T37" s="797">
        <f t="shared" si="7"/>
        <v>1</v>
      </c>
      <c r="U37" s="76"/>
      <c r="W37" s="107" t="str">
        <f t="shared" si="8"/>
        <v>0</v>
      </c>
      <c r="X37" s="235">
        <f t="shared" si="9"/>
        <v>0</v>
      </c>
      <c r="AE37" s="218" t="s">
        <v>225</v>
      </c>
      <c r="AF37" s="218" t="s">
        <v>264</v>
      </c>
      <c r="AG37" s="218" t="s">
        <v>315</v>
      </c>
      <c r="AI37" s="218" t="s">
        <v>364</v>
      </c>
    </row>
    <row r="38" spans="1:37" ht="14.25" customHeight="1">
      <c r="C38" s="253"/>
      <c r="D38" s="252"/>
      <c r="E38" s="252"/>
      <c r="F38" s="129"/>
      <c r="G38" s="129"/>
      <c r="H38" s="1028">
        <f t="shared" si="2"/>
        <v>0</v>
      </c>
      <c r="I38" s="256"/>
      <c r="J38" s="1028">
        <f t="shared" si="3"/>
        <v>0</v>
      </c>
      <c r="K38" s="257"/>
      <c r="L38" s="1028" t="str">
        <f t="shared" si="4"/>
        <v/>
      </c>
      <c r="M38" s="1036" t="str">
        <f t="shared" si="10"/>
        <v/>
      </c>
      <c r="N38" s="1028" t="str">
        <f t="shared" si="5"/>
        <v/>
      </c>
      <c r="O38" s="128"/>
      <c r="P38" s="1028">
        <f t="shared" si="11"/>
        <v>0</v>
      </c>
      <c r="Q38" s="1029" t="str">
        <f t="shared" si="6"/>
        <v/>
      </c>
      <c r="T38" s="797">
        <f t="shared" si="7"/>
        <v>1</v>
      </c>
      <c r="U38" s="76"/>
      <c r="W38" s="107" t="str">
        <f t="shared" si="8"/>
        <v>0</v>
      </c>
      <c r="X38" s="235">
        <f t="shared" si="9"/>
        <v>0</v>
      </c>
      <c r="AE38" s="218" t="s">
        <v>226</v>
      </c>
      <c r="AF38" s="218" t="s">
        <v>265</v>
      </c>
      <c r="AG38" s="218" t="s">
        <v>316</v>
      </c>
      <c r="AI38" s="218" t="s">
        <v>365</v>
      </c>
    </row>
    <row r="39" spans="1:37" ht="14.25" customHeight="1">
      <c r="C39" s="253"/>
      <c r="D39" s="252"/>
      <c r="E39" s="252"/>
      <c r="F39" s="129"/>
      <c r="G39" s="129"/>
      <c r="H39" s="1028">
        <f t="shared" si="2"/>
        <v>0</v>
      </c>
      <c r="I39" s="256"/>
      <c r="J39" s="1028">
        <f t="shared" si="3"/>
        <v>0</v>
      </c>
      <c r="K39" s="257"/>
      <c r="L39" s="1028" t="str">
        <f t="shared" si="4"/>
        <v/>
      </c>
      <c r="M39" s="1036" t="str">
        <f>IFERROR(IF(L39&lt;&gt;"",(+G39*12/L39),""),"")</f>
        <v/>
      </c>
      <c r="N39" s="1028" t="str">
        <f t="shared" si="5"/>
        <v/>
      </c>
      <c r="O39" s="128"/>
      <c r="P39" s="1028">
        <f t="shared" si="11"/>
        <v>0</v>
      </c>
      <c r="Q39" s="1029" t="str">
        <f t="shared" si="6"/>
        <v/>
      </c>
      <c r="T39" s="797">
        <f t="shared" si="7"/>
        <v>1</v>
      </c>
      <c r="W39" s="107" t="str">
        <f t="shared" si="8"/>
        <v>0</v>
      </c>
      <c r="X39" s="235">
        <f t="shared" si="9"/>
        <v>0</v>
      </c>
      <c r="AE39" s="218" t="s">
        <v>227</v>
      </c>
      <c r="AF39" s="218" t="s">
        <v>266</v>
      </c>
      <c r="AG39" s="218" t="s">
        <v>317</v>
      </c>
      <c r="AI39" s="218" t="s">
        <v>366</v>
      </c>
    </row>
    <row r="40" spans="1:37" ht="14.25" customHeight="1">
      <c r="C40" s="253"/>
      <c r="D40" s="252"/>
      <c r="E40" s="252"/>
      <c r="F40" s="129"/>
      <c r="G40" s="129"/>
      <c r="H40" s="1028">
        <f t="shared" si="2"/>
        <v>0</v>
      </c>
      <c r="I40" s="256"/>
      <c r="J40" s="1028">
        <f t="shared" si="3"/>
        <v>0</v>
      </c>
      <c r="K40" s="257"/>
      <c r="L40" s="1028" t="str">
        <f t="shared" si="4"/>
        <v/>
      </c>
      <c r="M40" s="1036" t="str">
        <f t="shared" si="10"/>
        <v/>
      </c>
      <c r="N40" s="1028" t="str">
        <f t="shared" si="5"/>
        <v/>
      </c>
      <c r="O40" s="128"/>
      <c r="P40" s="1028">
        <f t="shared" si="11"/>
        <v>0</v>
      </c>
      <c r="Q40" s="1029" t="str">
        <f t="shared" si="6"/>
        <v/>
      </c>
      <c r="T40" s="797">
        <f t="shared" si="7"/>
        <v>1</v>
      </c>
      <c r="W40" s="107" t="str">
        <f t="shared" si="8"/>
        <v>0</v>
      </c>
      <c r="X40" s="235">
        <f t="shared" si="9"/>
        <v>0</v>
      </c>
      <c r="AE40" s="218" t="s">
        <v>228</v>
      </c>
      <c r="AF40" s="218" t="s">
        <v>267</v>
      </c>
      <c r="AG40" s="218" t="s">
        <v>318</v>
      </c>
      <c r="AI40" s="218" t="s">
        <v>367</v>
      </c>
    </row>
    <row r="41" spans="1:37" ht="14.25" customHeight="1">
      <c r="C41" s="253"/>
      <c r="D41" s="252"/>
      <c r="E41" s="252"/>
      <c r="F41" s="129"/>
      <c r="G41" s="129"/>
      <c r="H41" s="1028">
        <f t="shared" si="2"/>
        <v>0</v>
      </c>
      <c r="I41" s="256"/>
      <c r="J41" s="1028">
        <f t="shared" si="3"/>
        <v>0</v>
      </c>
      <c r="K41" s="257"/>
      <c r="L41" s="1028" t="str">
        <f t="shared" si="4"/>
        <v/>
      </c>
      <c r="M41" s="1036" t="str">
        <f t="shared" si="10"/>
        <v/>
      </c>
      <c r="N41" s="1028" t="str">
        <f t="shared" si="5"/>
        <v/>
      </c>
      <c r="O41" s="128"/>
      <c r="P41" s="1028">
        <f t="shared" si="11"/>
        <v>0</v>
      </c>
      <c r="Q41" s="1029" t="str">
        <f t="shared" si="6"/>
        <v/>
      </c>
      <c r="T41" s="797">
        <f t="shared" si="7"/>
        <v>1</v>
      </c>
      <c r="W41" s="107" t="str">
        <f t="shared" si="8"/>
        <v>0</v>
      </c>
      <c r="X41" s="235">
        <f t="shared" si="9"/>
        <v>0</v>
      </c>
      <c r="AE41" s="218" t="s">
        <v>229</v>
      </c>
      <c r="AF41" s="218" t="s">
        <v>268</v>
      </c>
      <c r="AG41" s="218" t="s">
        <v>239</v>
      </c>
      <c r="AI41" s="218" t="s">
        <v>368</v>
      </c>
    </row>
    <row r="42" spans="1:37" ht="14.25" customHeight="1">
      <c r="B42" s="124"/>
      <c r="C42" s="253"/>
      <c r="D42" s="252"/>
      <c r="E42" s="252"/>
      <c r="F42" s="129"/>
      <c r="G42" s="129"/>
      <c r="H42" s="1028">
        <f t="shared" si="2"/>
        <v>0</v>
      </c>
      <c r="I42" s="256"/>
      <c r="J42" s="1028">
        <f t="shared" si="3"/>
        <v>0</v>
      </c>
      <c r="K42" s="257"/>
      <c r="L42" s="1028" t="str">
        <f t="shared" si="4"/>
        <v/>
      </c>
      <c r="M42" s="1036" t="str">
        <f t="shared" si="10"/>
        <v/>
      </c>
      <c r="N42" s="1028" t="str">
        <f t="shared" si="5"/>
        <v/>
      </c>
      <c r="O42" s="128"/>
      <c r="P42" s="1028">
        <f t="shared" si="11"/>
        <v>0</v>
      </c>
      <c r="Q42" s="1029" t="str">
        <f t="shared" si="6"/>
        <v/>
      </c>
      <c r="T42" s="797">
        <f t="shared" si="7"/>
        <v>1</v>
      </c>
      <c r="W42" s="107" t="str">
        <f t="shared" si="8"/>
        <v>0</v>
      </c>
      <c r="X42" s="235">
        <f t="shared" si="9"/>
        <v>0</v>
      </c>
      <c r="AE42" s="218" t="s">
        <v>230</v>
      </c>
      <c r="AF42" s="218" t="s">
        <v>269</v>
      </c>
      <c r="AG42" s="218" t="s">
        <v>319</v>
      </c>
      <c r="AI42" s="218" t="s">
        <v>369</v>
      </c>
    </row>
    <row r="43" spans="1:37" ht="14.25" customHeight="1">
      <c r="C43" s="253"/>
      <c r="D43" s="252"/>
      <c r="E43" s="252"/>
      <c r="F43" s="129"/>
      <c r="G43" s="129"/>
      <c r="H43" s="1028">
        <f t="shared" si="2"/>
        <v>0</v>
      </c>
      <c r="I43" s="256"/>
      <c r="J43" s="1028">
        <f t="shared" si="3"/>
        <v>0</v>
      </c>
      <c r="K43" s="257"/>
      <c r="L43" s="1028" t="str">
        <f t="shared" si="4"/>
        <v/>
      </c>
      <c r="M43" s="1036" t="str">
        <f t="shared" si="10"/>
        <v/>
      </c>
      <c r="N43" s="1028" t="str">
        <f t="shared" si="5"/>
        <v/>
      </c>
      <c r="O43" s="128"/>
      <c r="P43" s="1028">
        <f t="shared" si="11"/>
        <v>0</v>
      </c>
      <c r="Q43" s="1029" t="str">
        <f t="shared" si="6"/>
        <v/>
      </c>
      <c r="T43" s="797">
        <f t="shared" si="7"/>
        <v>1</v>
      </c>
      <c r="W43" s="107" t="str">
        <f t="shared" si="8"/>
        <v>0</v>
      </c>
      <c r="X43" s="235">
        <f t="shared" si="9"/>
        <v>0</v>
      </c>
      <c r="Y43" s="97">
        <f>SUMIF(D:D,#REF!,G:G)</f>
        <v>0</v>
      </c>
      <c r="Z43" s="97">
        <f>SUMIF(D:D,#REF!,E:E)</f>
        <v>0</v>
      </c>
      <c r="AE43" s="218" t="s">
        <v>231</v>
      </c>
      <c r="AF43" s="218" t="s">
        <v>270</v>
      </c>
      <c r="AG43" s="218" t="s">
        <v>320</v>
      </c>
      <c r="AI43" s="218" t="s">
        <v>370</v>
      </c>
    </row>
    <row r="44" spans="1:37" ht="14.25" customHeight="1">
      <c r="C44" s="253"/>
      <c r="D44" s="252"/>
      <c r="E44" s="252"/>
      <c r="F44" s="129"/>
      <c r="G44" s="129"/>
      <c r="H44" s="1028">
        <f t="shared" si="2"/>
        <v>0</v>
      </c>
      <c r="I44" s="256"/>
      <c r="J44" s="1028">
        <f t="shared" si="3"/>
        <v>0</v>
      </c>
      <c r="K44" s="257"/>
      <c r="L44" s="1028" t="str">
        <f>IFERROR(VLOOKUP(C44,$I$13:$S$18, MATCH( K44,$I$13:$S$13,0), FALSE),"")</f>
        <v/>
      </c>
      <c r="M44" s="1036" t="str">
        <f t="shared" si="10"/>
        <v/>
      </c>
      <c r="N44" s="1028" t="str">
        <f t="shared" si="5"/>
        <v/>
      </c>
      <c r="O44" s="128"/>
      <c r="P44" s="1028">
        <f t="shared" si="11"/>
        <v>0</v>
      </c>
      <c r="Q44" s="1029" t="str">
        <f t="shared" si="6"/>
        <v/>
      </c>
      <c r="T44" s="797">
        <f t="shared" si="7"/>
        <v>1</v>
      </c>
      <c r="W44" s="107" t="str">
        <f t="shared" si="8"/>
        <v>0</v>
      </c>
      <c r="X44" s="235">
        <f t="shared" si="9"/>
        <v>0</v>
      </c>
      <c r="Y44" s="97" t="s">
        <v>729</v>
      </c>
      <c r="AE44" s="218" t="s">
        <v>232</v>
      </c>
      <c r="AF44" s="218" t="s">
        <v>271</v>
      </c>
      <c r="AI44" s="218" t="s">
        <v>371</v>
      </c>
    </row>
    <row r="45" spans="1:37" ht="14.25" customHeight="1">
      <c r="C45" s="253"/>
      <c r="D45" s="252"/>
      <c r="E45" s="252"/>
      <c r="F45" s="129"/>
      <c r="G45" s="129"/>
      <c r="H45" s="1028">
        <f t="shared" si="2"/>
        <v>0</v>
      </c>
      <c r="I45" s="256"/>
      <c r="J45" s="1028">
        <f t="shared" si="3"/>
        <v>0</v>
      </c>
      <c r="K45" s="257"/>
      <c r="L45" s="1028" t="str">
        <f t="shared" si="4"/>
        <v/>
      </c>
      <c r="M45" s="1036" t="str">
        <f t="shared" si="10"/>
        <v/>
      </c>
      <c r="N45" s="1028" t="str">
        <f t="shared" si="5"/>
        <v/>
      </c>
      <c r="O45" s="128"/>
      <c r="P45" s="1028">
        <f t="shared" si="11"/>
        <v>0</v>
      </c>
      <c r="Q45" s="1029" t="str">
        <f t="shared" si="6"/>
        <v/>
      </c>
      <c r="T45" s="797">
        <f t="shared" si="7"/>
        <v>1</v>
      </c>
      <c r="V45" s="236" t="s">
        <v>708</v>
      </c>
      <c r="W45" s="107" t="str">
        <f t="shared" si="8"/>
        <v>0</v>
      </c>
      <c r="X45" s="235">
        <f t="shared" si="9"/>
        <v>0</v>
      </c>
      <c r="AE45" s="218" t="s">
        <v>233</v>
      </c>
      <c r="AF45" s="218" t="s">
        <v>272</v>
      </c>
      <c r="AI45" s="218" t="s">
        <v>372</v>
      </c>
    </row>
    <row r="46" spans="1:37" ht="14.25" customHeight="1">
      <c r="C46" s="253"/>
      <c r="D46" s="252"/>
      <c r="E46" s="252"/>
      <c r="F46" s="129"/>
      <c r="G46" s="129"/>
      <c r="H46" s="1028">
        <f t="shared" si="2"/>
        <v>0</v>
      </c>
      <c r="I46" s="256"/>
      <c r="J46" s="1028">
        <f t="shared" si="3"/>
        <v>0</v>
      </c>
      <c r="K46" s="257"/>
      <c r="L46" s="1028" t="str">
        <f t="shared" si="4"/>
        <v/>
      </c>
      <c r="M46" s="1036" t="str">
        <f t="shared" si="10"/>
        <v/>
      </c>
      <c r="N46" s="1028" t="str">
        <f t="shared" si="5"/>
        <v/>
      </c>
      <c r="O46" s="128"/>
      <c r="P46" s="1028">
        <f t="shared" si="11"/>
        <v>0</v>
      </c>
      <c r="Q46" s="1029" t="str">
        <f t="shared" si="6"/>
        <v/>
      </c>
      <c r="T46" s="797">
        <f t="shared" si="7"/>
        <v>1</v>
      </c>
      <c r="W46" s="107" t="str">
        <f t="shared" si="8"/>
        <v>0</v>
      </c>
      <c r="X46" s="235">
        <f t="shared" si="9"/>
        <v>0</v>
      </c>
      <c r="AE46" s="218" t="s">
        <v>234</v>
      </c>
      <c r="AF46" s="218" t="s">
        <v>273</v>
      </c>
      <c r="AI46" s="218" t="s">
        <v>373</v>
      </c>
    </row>
    <row r="47" spans="1:37" ht="14.25" customHeight="1">
      <c r="C47" s="253"/>
      <c r="D47" s="252"/>
      <c r="E47" s="252"/>
      <c r="F47" s="129"/>
      <c r="G47" s="129"/>
      <c r="H47" s="1028">
        <f t="shared" si="2"/>
        <v>0</v>
      </c>
      <c r="I47" s="256"/>
      <c r="J47" s="1028">
        <f t="shared" si="3"/>
        <v>0</v>
      </c>
      <c r="K47" s="257"/>
      <c r="L47" s="1028" t="str">
        <f t="shared" si="4"/>
        <v/>
      </c>
      <c r="M47" s="1036" t="str">
        <f t="shared" si="10"/>
        <v/>
      </c>
      <c r="N47" s="1028" t="str">
        <f t="shared" si="5"/>
        <v/>
      </c>
      <c r="O47" s="128"/>
      <c r="P47" s="1028">
        <f t="shared" si="11"/>
        <v>0</v>
      </c>
      <c r="Q47" s="1029" t="str">
        <f t="shared" si="6"/>
        <v/>
      </c>
      <c r="T47" s="797">
        <f t="shared" si="7"/>
        <v>1</v>
      </c>
      <c r="V47" s="237" t="s">
        <v>114</v>
      </c>
      <c r="W47" s="107" t="str">
        <f t="shared" si="8"/>
        <v>0</v>
      </c>
      <c r="X47" s="235">
        <f t="shared" si="9"/>
        <v>0</v>
      </c>
      <c r="Y47" s="217"/>
      <c r="AB47" s="238" t="s">
        <v>664</v>
      </c>
      <c r="AC47" s="97" t="s">
        <v>15</v>
      </c>
      <c r="AE47" s="218" t="s">
        <v>235</v>
      </c>
      <c r="AF47" s="218" t="s">
        <v>274</v>
      </c>
    </row>
    <row r="48" spans="1:37" ht="14.25" customHeight="1">
      <c r="C48" s="253"/>
      <c r="D48" s="252"/>
      <c r="E48" s="252"/>
      <c r="F48" s="129"/>
      <c r="G48" s="129"/>
      <c r="H48" s="1028">
        <f t="shared" si="2"/>
        <v>0</v>
      </c>
      <c r="I48" s="256"/>
      <c r="J48" s="1028">
        <f t="shared" si="3"/>
        <v>0</v>
      </c>
      <c r="K48" s="257"/>
      <c r="L48" s="1028" t="str">
        <f>IFERROR(VLOOKUP(C48,$I$13:$S$18, MATCH( K48,$I$13:$S$13,0), FALSE),"")</f>
        <v/>
      </c>
      <c r="M48" s="1036" t="str">
        <f t="shared" si="10"/>
        <v/>
      </c>
      <c r="N48" s="1028" t="str">
        <f t="shared" si="5"/>
        <v/>
      </c>
      <c r="O48" s="128"/>
      <c r="P48" s="1028">
        <f t="shared" si="11"/>
        <v>0</v>
      </c>
      <c r="Q48" s="1029" t="str">
        <f t="shared" si="6"/>
        <v/>
      </c>
      <c r="T48" s="797">
        <f t="shared" si="7"/>
        <v>1</v>
      </c>
      <c r="V48" s="237" t="s">
        <v>115</v>
      </c>
      <c r="W48" s="107" t="str">
        <f t="shared" si="8"/>
        <v>0</v>
      </c>
      <c r="X48" s="235">
        <f t="shared" si="9"/>
        <v>0</v>
      </c>
      <c r="Y48" s="217"/>
      <c r="AB48" s="239" t="s">
        <v>713</v>
      </c>
      <c r="AC48" s="97" t="s">
        <v>122</v>
      </c>
      <c r="AE48" s="218" t="s">
        <v>236</v>
      </c>
      <c r="AF48" s="218" t="s">
        <v>275</v>
      </c>
    </row>
    <row r="49" spans="1:37" ht="14.25" customHeight="1">
      <c r="C49" s="253"/>
      <c r="D49" s="252"/>
      <c r="E49" s="252"/>
      <c r="F49" s="129"/>
      <c r="G49" s="129"/>
      <c r="H49" s="1028">
        <f t="shared" si="2"/>
        <v>0</v>
      </c>
      <c r="I49" s="256"/>
      <c r="J49" s="1028">
        <f t="shared" si="3"/>
        <v>0</v>
      </c>
      <c r="K49" s="257"/>
      <c r="L49" s="1028" t="str">
        <f t="shared" si="4"/>
        <v/>
      </c>
      <c r="M49" s="1036" t="str">
        <f t="shared" si="10"/>
        <v/>
      </c>
      <c r="N49" s="1028" t="str">
        <f>IFERROR(HLOOKUP(K49,$I$13:$S$18,3)*2,"")</f>
        <v/>
      </c>
      <c r="O49" s="128"/>
      <c r="P49" s="1028">
        <f t="shared" si="11"/>
        <v>0</v>
      </c>
      <c r="Q49" s="1029" t="str">
        <f t="shared" si="6"/>
        <v/>
      </c>
      <c r="T49" s="797">
        <f t="shared" si="7"/>
        <v>1</v>
      </c>
      <c r="W49" s="107" t="str">
        <f t="shared" si="8"/>
        <v>0</v>
      </c>
      <c r="X49" s="235">
        <f t="shared" si="9"/>
        <v>0</v>
      </c>
      <c r="Y49" s="217"/>
      <c r="AB49" s="239" t="s">
        <v>714</v>
      </c>
      <c r="AC49" s="97" t="s">
        <v>154</v>
      </c>
      <c r="AE49" s="218" t="s">
        <v>237</v>
      </c>
      <c r="AF49" s="218" t="s">
        <v>276</v>
      </c>
    </row>
    <row r="50" spans="1:37" ht="14.25" customHeight="1" thickBot="1">
      <c r="C50" s="254"/>
      <c r="D50" s="255"/>
      <c r="E50" s="255"/>
      <c r="F50" s="130"/>
      <c r="G50" s="129"/>
      <c r="H50" s="1030">
        <f t="shared" si="2"/>
        <v>0</v>
      </c>
      <c r="I50" s="605"/>
      <c r="J50" s="1030">
        <f t="shared" si="3"/>
        <v>0</v>
      </c>
      <c r="K50" s="577"/>
      <c r="L50" s="1030" t="str">
        <f t="shared" si="4"/>
        <v/>
      </c>
      <c r="M50" s="1037" t="str">
        <f t="shared" si="10"/>
        <v/>
      </c>
      <c r="N50" s="1030" t="str">
        <f>IFERROR(HLOOKUP(K50,$I$13:$S$18,3)*2,"")</f>
        <v/>
      </c>
      <c r="O50" s="578"/>
      <c r="P50" s="1030">
        <f t="shared" si="11"/>
        <v>0</v>
      </c>
      <c r="Q50" s="1031" t="str">
        <f t="shared" si="6"/>
        <v/>
      </c>
      <c r="T50" s="797">
        <f t="shared" si="7"/>
        <v>1</v>
      </c>
      <c r="W50" s="107" t="str">
        <f t="shared" si="8"/>
        <v>0</v>
      </c>
      <c r="X50" s="235">
        <f t="shared" si="9"/>
        <v>0</v>
      </c>
      <c r="AB50" s="239" t="s">
        <v>715</v>
      </c>
      <c r="AC50" s="97" t="s">
        <v>155</v>
      </c>
      <c r="AE50" s="218" t="s">
        <v>238</v>
      </c>
      <c r="AF50" s="218" t="s">
        <v>277</v>
      </c>
    </row>
    <row r="51" spans="1:37" ht="14.25" customHeight="1" thickTop="1" thickBot="1">
      <c r="B51" s="13"/>
      <c r="C51" s="1955" t="s">
        <v>666</v>
      </c>
      <c r="D51" s="1955"/>
      <c r="E51" s="1955"/>
      <c r="F51" s="1955"/>
      <c r="G51" s="1955"/>
      <c r="H51" s="1955"/>
      <c r="I51" s="1955"/>
      <c r="J51" s="1955"/>
      <c r="K51" s="1955"/>
      <c r="L51" s="1955"/>
      <c r="M51" s="1955"/>
      <c r="N51" s="1955"/>
      <c r="O51" s="1955"/>
      <c r="P51" s="1955"/>
      <c r="Q51" s="1955"/>
      <c r="T51" s="797"/>
      <c r="W51" s="107" t="str">
        <f t="shared" si="8"/>
        <v>0</v>
      </c>
      <c r="X51" s="235">
        <f t="shared" si="9"/>
        <v>0</v>
      </c>
      <c r="AB51" s="241" t="s">
        <v>716</v>
      </c>
      <c r="AC51" s="97" t="s">
        <v>156</v>
      </c>
      <c r="AE51" s="218" t="s">
        <v>239</v>
      </c>
      <c r="AF51" s="218" t="s">
        <v>278</v>
      </c>
    </row>
    <row r="52" spans="1:37" ht="14.25" customHeight="1" thickTop="1" thickBot="1">
      <c r="C52" s="606"/>
      <c r="D52" s="607"/>
      <c r="E52" s="607"/>
      <c r="F52" s="608"/>
      <c r="G52" s="609"/>
      <c r="H52" s="1034">
        <f>F52-G52</f>
        <v>0</v>
      </c>
      <c r="I52" s="579"/>
      <c r="J52" s="1032">
        <f>E52*F52</f>
        <v>0</v>
      </c>
      <c r="K52" s="758"/>
      <c r="L52" s="1034" t="str">
        <f>IFERROR(VLOOKUP(C52,$I$13:$S$18, MATCH( K52,$I$13:$S$13,0), FALSE),"")</f>
        <v/>
      </c>
      <c r="M52" s="1035" t="str">
        <f>IFERROR(IF(L52&lt;&gt;"",(+H52*12/L52),""),"")</f>
        <v/>
      </c>
      <c r="N52" s="1034" t="str">
        <f>IFERROR(HLOOKUP(K52,$I$13:$S$18,3)*2,"")</f>
        <v/>
      </c>
      <c r="O52" s="757"/>
      <c r="P52" s="1032">
        <f>O52+H52</f>
        <v>0</v>
      </c>
      <c r="Q52" s="1033" t="str">
        <f>IFERROR(ROUND(P52*12/L52,2),M52)</f>
        <v/>
      </c>
      <c r="T52" s="797">
        <f t="shared" si="7"/>
        <v>1</v>
      </c>
      <c r="U52" s="133"/>
      <c r="V52" s="98"/>
      <c r="W52" s="107" t="str">
        <f t="shared" si="8"/>
        <v>0</v>
      </c>
      <c r="AB52" s="238" t="s">
        <v>678</v>
      </c>
      <c r="AC52" s="97" t="s">
        <v>157</v>
      </c>
      <c r="AF52" s="218" t="s">
        <v>279</v>
      </c>
    </row>
    <row r="53" spans="1:37" ht="14.25" customHeight="1" thickTop="1" thickBot="1">
      <c r="B53" s="13"/>
      <c r="C53" s="1955" t="s">
        <v>668</v>
      </c>
      <c r="D53" s="1955"/>
      <c r="E53" s="1955"/>
      <c r="F53" s="1955"/>
      <c r="G53" s="1955"/>
      <c r="H53" s="1955"/>
      <c r="I53" s="1955"/>
      <c r="J53" s="1955"/>
      <c r="K53" s="1955"/>
      <c r="L53" s="1955"/>
      <c r="M53" s="1955"/>
      <c r="N53" s="1955"/>
      <c r="O53" s="1955"/>
      <c r="P53" s="1955"/>
      <c r="Q53" s="1955"/>
      <c r="T53" s="797"/>
      <c r="W53" s="107"/>
      <c r="X53" s="235">
        <f>IF(C52=$AB$47,1,IF(C52=$AB$48,2,IF(C52=$AB$49,3,IF(C52=$AB$50,4,IF(C52=$AB$51,5,IF(C52=$AB$52,6,0))))))</f>
        <v>0</v>
      </c>
      <c r="AC53" s="97" t="s">
        <v>158</v>
      </c>
      <c r="AF53" s="218" t="s">
        <v>280</v>
      </c>
    </row>
    <row r="54" spans="1:37" ht="14.25" customHeight="1" thickTop="1" thickBot="1">
      <c r="C54" s="49"/>
      <c r="D54" s="607"/>
      <c r="E54" s="607"/>
      <c r="F54" s="608"/>
      <c r="G54" s="609"/>
      <c r="H54" s="1034">
        <f>F54-G54</f>
        <v>0</v>
      </c>
      <c r="I54" s="580"/>
      <c r="J54" s="1032">
        <f>E54*F54</f>
        <v>0</v>
      </c>
      <c r="K54" s="864"/>
      <c r="L54" s="866" t="str">
        <f>IFERROR(VLOOKUP(K54,$C$17:$H$25, MATCH( C54,#REF!, 0), FALSE),"")</f>
        <v/>
      </c>
      <c r="M54" s="867" t="str">
        <f>IFERROR(IF(L54&lt;&gt;"",(+H54*12/L54),""),"")</f>
        <v/>
      </c>
      <c r="N54" s="868" t="str">
        <f>IFERROR(VLOOKUP(K54,$C$17:$H$25,3)*2,"")</f>
        <v/>
      </c>
      <c r="O54" s="865"/>
      <c r="P54" s="1032">
        <f>O54+H54</f>
        <v>0</v>
      </c>
      <c r="Q54" s="1033" t="str">
        <f>IFERROR(ROUND(P54*12/L54,2),M54)</f>
        <v/>
      </c>
      <c r="T54" s="797">
        <f t="shared" si="7"/>
        <v>1</v>
      </c>
      <c r="W54" s="107"/>
      <c r="AF54" s="218" t="s">
        <v>281</v>
      </c>
    </row>
    <row r="55" spans="1:37" ht="14.25" customHeight="1" thickTop="1">
      <c r="B55" s="13"/>
      <c r="W55" s="107" t="str">
        <f>IF(D54=$AC$47,0,IF(D53=$AC$48,0,IF(D53=$AC$49,1,IF(D53=$AC$50,2,IF(D53=$AC$51,3,IF(D53=$AC$52,4,IF(D53=$AC$53,5,"0")))))))</f>
        <v>0</v>
      </c>
      <c r="AF55" s="218" t="s">
        <v>282</v>
      </c>
    </row>
    <row r="56" spans="1:37" ht="14.25" customHeight="1">
      <c r="B56" s="13"/>
      <c r="C56" s="89"/>
      <c r="D56" s="125"/>
      <c r="E56" s="89"/>
      <c r="F56" s="89"/>
      <c r="G56" s="91"/>
      <c r="H56" s="89"/>
      <c r="I56" s="91"/>
      <c r="J56" s="89"/>
      <c r="K56" s="89"/>
      <c r="L56" s="49"/>
      <c r="W56" s="107"/>
      <c r="AB56" s="76"/>
      <c r="AF56" s="218" t="s">
        <v>283</v>
      </c>
    </row>
    <row r="57" spans="1:37" ht="21" customHeight="1">
      <c r="B57" s="13"/>
      <c r="C57" s="76"/>
      <c r="D57" s="1956" t="s">
        <v>664</v>
      </c>
      <c r="E57" s="1960" t="s">
        <v>713</v>
      </c>
      <c r="F57" s="1962" t="s">
        <v>714</v>
      </c>
      <c r="G57" s="1964" t="s">
        <v>715</v>
      </c>
      <c r="H57" s="1964" t="s">
        <v>716</v>
      </c>
      <c r="I57" s="1966" t="s">
        <v>678</v>
      </c>
      <c r="J57" s="1958" t="s">
        <v>667</v>
      </c>
      <c r="K57" s="240"/>
      <c r="AB57" s="76"/>
      <c r="AF57" s="218" t="s">
        <v>236</v>
      </c>
    </row>
    <row r="58" spans="1:37" ht="14.25" customHeight="1">
      <c r="A58" s="77"/>
      <c r="C58" s="89"/>
      <c r="D58" s="1957"/>
      <c r="E58" s="1961"/>
      <c r="F58" s="1963"/>
      <c r="G58" s="1965"/>
      <c r="H58" s="1965"/>
      <c r="I58" s="1967"/>
      <c r="J58" s="1959"/>
      <c r="K58" s="1938" t="str">
        <f>IF(P58="","Input the Number of Units Reserved for Special Needs:","Number Units Reserved for Special Needs:")</f>
        <v>Input the Number of Units Reserved for Special Needs:</v>
      </c>
      <c r="L58" s="1938"/>
      <c r="M58" s="1938"/>
      <c r="N58" s="1938"/>
      <c r="O58" s="1938"/>
      <c r="P58" s="640"/>
      <c r="Q58" s="982" t="str">
        <f>IFERROR(ROUND(P58/K66,2),"")</f>
        <v/>
      </c>
      <c r="V58" s="217"/>
      <c r="AF58" s="218" t="s">
        <v>284</v>
      </c>
    </row>
    <row r="59" spans="1:37" ht="14.25" customHeight="1">
      <c r="C59" s="1578" t="s">
        <v>15</v>
      </c>
      <c r="D59" s="1022">
        <f t="shared" ref="D59:D65" si="12">SUMIFS($E$29:$E$52,$C$29:$C$52,$AB$47,$D$29:$D$52,AC47)</f>
        <v>0</v>
      </c>
      <c r="E59" s="1022">
        <f t="shared" ref="E59:E65" si="13">SUMIFS($E$29:$E$52,$X$30:$X$53,2,$D$29:$D$52,AC47)</f>
        <v>0</v>
      </c>
      <c r="F59" s="1022">
        <f t="shared" ref="F59:F65" si="14">SUMIFS($E$29:$E$52,$X$30:$X$53,3,$D$29:$D$52,AC47)</f>
        <v>0</v>
      </c>
      <c r="G59" s="1022">
        <f t="shared" ref="G59:G65" si="15">SUMIFS($E$29:$E$52,$X$30:$X$53,4,$D$29:$D$52,AC47)</f>
        <v>0</v>
      </c>
      <c r="H59" s="1022">
        <f t="shared" ref="H59:H65" si="16">SUMIFS($E$29:$E$52,$X$30:$X$53,5,$D$29:$D$52,AC47)</f>
        <v>0</v>
      </c>
      <c r="I59" s="1022">
        <f t="shared" ref="I59:I65" si="17">SUMIFS($E$29:$E$52,$X$30:$X$53,6,$D$29:$D$52,AC47)</f>
        <v>0</v>
      </c>
      <c r="J59" s="1022">
        <f t="shared" ref="J59:J65" si="18">SUMIF($D$54,C59,$E$54)</f>
        <v>0</v>
      </c>
      <c r="K59" s="1038">
        <f t="shared" ref="K59:K65" si="19">SUM(D59:J59)</f>
        <v>0</v>
      </c>
      <c r="V59" s="217"/>
      <c r="AF59" s="218" t="s">
        <v>285</v>
      </c>
    </row>
    <row r="60" spans="1:37" ht="14.25" customHeight="1">
      <c r="C60" s="1579" t="s">
        <v>122</v>
      </c>
      <c r="D60" s="1022">
        <f t="shared" si="12"/>
        <v>0</v>
      </c>
      <c r="E60" s="1022">
        <f t="shared" si="13"/>
        <v>0</v>
      </c>
      <c r="F60" s="1022">
        <f t="shared" si="14"/>
        <v>0</v>
      </c>
      <c r="G60" s="1022">
        <f t="shared" si="15"/>
        <v>0</v>
      </c>
      <c r="H60" s="1022">
        <f t="shared" si="16"/>
        <v>0</v>
      </c>
      <c r="I60" s="1022">
        <f t="shared" si="17"/>
        <v>0</v>
      </c>
      <c r="J60" s="1022">
        <f t="shared" si="18"/>
        <v>0</v>
      </c>
      <c r="K60" s="1038">
        <f t="shared" si="19"/>
        <v>0</v>
      </c>
      <c r="L60" s="1938" t="str">
        <f>IF(P60="","Input the Number of Units Reserved for Homeless:","Number Units Reserved for Homeless:")</f>
        <v>Input the Number of Units Reserved for Homeless:</v>
      </c>
      <c r="M60" s="1938"/>
      <c r="N60" s="1938"/>
      <c r="O60" s="1938"/>
      <c r="P60" s="640"/>
      <c r="Q60" s="982" t="str">
        <f>IFERROR(ROUND(P60/K66,2),"")</f>
        <v/>
      </c>
      <c r="V60" s="217"/>
      <c r="X60" s="242" t="s">
        <v>710</v>
      </c>
      <c r="AF60" s="218" t="s">
        <v>238</v>
      </c>
    </row>
    <row r="61" spans="1:37" ht="14.25" customHeight="1">
      <c r="A61" s="244"/>
      <c r="C61" s="1579" t="s">
        <v>154</v>
      </c>
      <c r="D61" s="1022">
        <f t="shared" si="12"/>
        <v>0</v>
      </c>
      <c r="E61" s="1022">
        <f t="shared" si="13"/>
        <v>0</v>
      </c>
      <c r="F61" s="1022">
        <f t="shared" si="14"/>
        <v>0</v>
      </c>
      <c r="G61" s="1022">
        <f t="shared" si="15"/>
        <v>0</v>
      </c>
      <c r="H61" s="1022">
        <f t="shared" si="16"/>
        <v>0</v>
      </c>
      <c r="I61" s="1022">
        <f t="shared" si="17"/>
        <v>0</v>
      </c>
      <c r="J61" s="1022">
        <f t="shared" si="18"/>
        <v>0</v>
      </c>
      <c r="K61" s="1038">
        <f t="shared" si="19"/>
        <v>0</v>
      </c>
      <c r="V61" s="217"/>
      <c r="X61" s="118">
        <f>COUNTA(P60)</f>
        <v>0</v>
      </c>
      <c r="AF61" s="218" t="s">
        <v>286</v>
      </c>
    </row>
    <row r="62" spans="1:37" ht="14.25" customHeight="1">
      <c r="A62" s="244"/>
      <c r="C62" s="1579" t="s">
        <v>155</v>
      </c>
      <c r="D62" s="1022">
        <f t="shared" si="12"/>
        <v>0</v>
      </c>
      <c r="E62" s="1022">
        <f t="shared" si="13"/>
        <v>0</v>
      </c>
      <c r="F62" s="1022">
        <f t="shared" si="14"/>
        <v>0</v>
      </c>
      <c r="G62" s="1022">
        <f t="shared" si="15"/>
        <v>0</v>
      </c>
      <c r="H62" s="1022">
        <f t="shared" si="16"/>
        <v>0</v>
      </c>
      <c r="I62" s="1022">
        <f t="shared" si="17"/>
        <v>0</v>
      </c>
      <c r="J62" s="1022">
        <f t="shared" si="18"/>
        <v>0</v>
      </c>
      <c r="K62" s="1038">
        <f t="shared" si="19"/>
        <v>0</v>
      </c>
      <c r="N62" s="1938" t="s">
        <v>805</v>
      </c>
      <c r="O62" s="1938"/>
      <c r="P62" s="1040">
        <f>SUM(D66:E66)</f>
        <v>0</v>
      </c>
      <c r="Q62" s="982" t="str">
        <f>IFERROR(ROUND(SUM(D66:E66)/K66,2),"")</f>
        <v/>
      </c>
      <c r="AF62" s="218" t="s">
        <v>287</v>
      </c>
    </row>
    <row r="63" spans="1:37" ht="14.25" customHeight="1">
      <c r="A63" s="244"/>
      <c r="C63" s="1579" t="s">
        <v>156</v>
      </c>
      <c r="D63" s="1022">
        <f t="shared" si="12"/>
        <v>0</v>
      </c>
      <c r="E63" s="1022">
        <f t="shared" si="13"/>
        <v>0</v>
      </c>
      <c r="F63" s="1022">
        <f t="shared" si="14"/>
        <v>0</v>
      </c>
      <c r="G63" s="1022">
        <f t="shared" si="15"/>
        <v>0</v>
      </c>
      <c r="H63" s="1022">
        <f t="shared" si="16"/>
        <v>0</v>
      </c>
      <c r="I63" s="1022">
        <f t="shared" si="17"/>
        <v>0</v>
      </c>
      <c r="J63" s="1022">
        <f t="shared" si="18"/>
        <v>0</v>
      </c>
      <c r="K63" s="1038">
        <f t="shared" si="19"/>
        <v>0</v>
      </c>
      <c r="AF63" s="218" t="s">
        <v>288</v>
      </c>
    </row>
    <row r="64" spans="1:37" s="76" customFormat="1" ht="14.25" customHeight="1">
      <c r="A64" s="244"/>
      <c r="B64" s="13"/>
      <c r="C64" s="1579" t="s">
        <v>157</v>
      </c>
      <c r="D64" s="1022">
        <f t="shared" si="12"/>
        <v>0</v>
      </c>
      <c r="E64" s="1022">
        <f t="shared" si="13"/>
        <v>0</v>
      </c>
      <c r="F64" s="1022">
        <f t="shared" si="14"/>
        <v>0</v>
      </c>
      <c r="G64" s="1022">
        <f t="shared" si="15"/>
        <v>0</v>
      </c>
      <c r="H64" s="1022">
        <f t="shared" si="16"/>
        <v>0</v>
      </c>
      <c r="I64" s="1022">
        <f t="shared" si="17"/>
        <v>0</v>
      </c>
      <c r="J64" s="1022">
        <f>SUMIF($D$54,C64,$E$54)</f>
        <v>0</v>
      </c>
      <c r="K64" s="1038">
        <f t="shared" si="19"/>
        <v>0</v>
      </c>
      <c r="L64" s="15"/>
      <c r="M64" s="1952" t="s">
        <v>811</v>
      </c>
      <c r="N64" s="1953"/>
      <c r="O64" s="1954"/>
      <c r="P64" s="1025">
        <f>SUM(J29:J50,J52,J54)</f>
        <v>0</v>
      </c>
      <c r="Q64" s="15"/>
      <c r="R64"/>
      <c r="S64"/>
      <c r="T64"/>
      <c r="U64" s="217"/>
      <c r="V64" s="97"/>
      <c r="W64" s="97"/>
      <c r="X64" s="97"/>
      <c r="Y64" s="97"/>
      <c r="Z64" s="97"/>
      <c r="AA64" s="82"/>
      <c r="AB64" s="97"/>
      <c r="AC64" s="82"/>
      <c r="AD64" s="82"/>
      <c r="AE64" s="82"/>
      <c r="AF64" s="82"/>
      <c r="AG64" s="82"/>
      <c r="AH64" s="82"/>
      <c r="AI64" s="82"/>
      <c r="AJ64" s="82"/>
      <c r="AK64" s="82"/>
    </row>
    <row r="65" spans="1:37" ht="14.25" customHeight="1">
      <c r="A65" s="244"/>
      <c r="B65" s="13"/>
      <c r="C65" s="1580" t="s">
        <v>158</v>
      </c>
      <c r="D65" s="1022">
        <f t="shared" si="12"/>
        <v>0</v>
      </c>
      <c r="E65" s="1022">
        <f t="shared" si="13"/>
        <v>0</v>
      </c>
      <c r="F65" s="1022">
        <f t="shared" si="14"/>
        <v>0</v>
      </c>
      <c r="G65" s="1022">
        <f t="shared" si="15"/>
        <v>0</v>
      </c>
      <c r="H65" s="1022">
        <f t="shared" si="16"/>
        <v>0</v>
      </c>
      <c r="I65" s="1022">
        <f t="shared" si="17"/>
        <v>0</v>
      </c>
      <c r="J65" s="1022">
        <f t="shared" si="18"/>
        <v>0</v>
      </c>
      <c r="K65" s="1038">
        <f t="shared" si="19"/>
        <v>0</v>
      </c>
      <c r="M65" s="1952" t="s">
        <v>812</v>
      </c>
      <c r="N65" s="1953"/>
      <c r="O65" s="1954"/>
      <c r="P65" s="1025">
        <f>P64*12</f>
        <v>0</v>
      </c>
      <c r="AB65" s="15"/>
      <c r="AC65" s="66">
        <v>1</v>
      </c>
      <c r="AD65" s="64">
        <v>2</v>
      </c>
      <c r="AE65" s="65">
        <v>3</v>
      </c>
      <c r="AF65" s="65">
        <v>4</v>
      </c>
      <c r="AG65" s="65">
        <v>5</v>
      </c>
      <c r="AH65" s="65">
        <v>6</v>
      </c>
      <c r="AI65" s="65">
        <v>7</v>
      </c>
      <c r="AJ65" s="65">
        <v>8</v>
      </c>
    </row>
    <row r="66" spans="1:37" ht="14.25" customHeight="1">
      <c r="B66" s="13"/>
      <c r="C66" s="72"/>
      <c r="D66" s="1039">
        <f>SUM(D59:D65)</f>
        <v>0</v>
      </c>
      <c r="E66" s="1039">
        <f t="shared" ref="E66:J66" si="20">SUM(E59:E65)</f>
        <v>0</v>
      </c>
      <c r="F66" s="1039">
        <f t="shared" si="20"/>
        <v>0</v>
      </c>
      <c r="G66" s="1039">
        <f t="shared" si="20"/>
        <v>0</v>
      </c>
      <c r="H66" s="1039">
        <f t="shared" si="20"/>
        <v>0</v>
      </c>
      <c r="I66" s="1039">
        <f t="shared" si="20"/>
        <v>0</v>
      </c>
      <c r="J66" s="1039">
        <f t="shared" si="20"/>
        <v>0</v>
      </c>
      <c r="K66" s="1024">
        <f>SUM(D66:J66)</f>
        <v>0</v>
      </c>
      <c r="L66" s="76"/>
      <c r="AB66" s="406" t="s">
        <v>664</v>
      </c>
      <c r="AC66" s="153" t="str">
        <f>IFERROR(IF(OR($D$13="",$D$13="Not Listed"),"",INDEX('Income Limits'!$K$3:$K$266,MATCH($V$13,County,0))),"")</f>
        <v/>
      </c>
      <c r="AD66" s="154" t="str">
        <f>IFERROR(IF(OR($D$13="",$D$13="Not Listed"),"",INDEX('Income Limits'!$L$3:$L$266,MATCH($V$13,County,0))),"")</f>
        <v/>
      </c>
      <c r="AE66" s="154" t="str">
        <f>IFERROR(IF(OR($D$13="",$D$13="Not Listed"),"",INDEX('Income Limits'!$M$3:$M$266,MATCH($V$13,County,0))),"")</f>
        <v/>
      </c>
      <c r="AF66" s="154" t="str">
        <f>IFERROR(IF(OR($D$13="",$D$13="Not Listed"),"",INDEX('Income Limits'!$N$3:$N$266,MATCH($V$13,County,0))),"")</f>
        <v/>
      </c>
      <c r="AG66" s="154" t="str">
        <f>IFERROR(IF(OR($D$13="",$D$13="Not Listed"),"",INDEX('Income Limits'!$O$3:$O$266,MATCH($V$13,County,0))),"")</f>
        <v/>
      </c>
      <c r="AH66" s="154" t="str">
        <f>IFERROR(IF(OR($D$13="",$D$13="Not Listed"),"",INDEX('Income Limits'!$P$3:$P$266,MATCH($V$13,County,0))),"")</f>
        <v/>
      </c>
      <c r="AI66" s="154" t="str">
        <f>IFERROR(IF(OR($D$13="",$D$13="Not Listed"),"",INDEX('Income Limits'!$Q$3:$Q$266,MATCH($V$13,County,0))),"")</f>
        <v/>
      </c>
      <c r="AJ66" s="154" t="str">
        <f>IFERROR(IF(OR($D$13="",$D$13="Not Listed"),"",INDEX('Income Limits'!$R$3:$R$266,MATCH($V$13,County,0))),"")</f>
        <v/>
      </c>
    </row>
    <row r="67" spans="1:37" s="245" customFormat="1" ht="13.5" customHeight="1">
      <c r="A67" s="49"/>
      <c r="B67" s="13"/>
      <c r="L67" s="15"/>
      <c r="M67" s="15"/>
      <c r="N67" s="15"/>
      <c r="O67" s="15"/>
      <c r="P67" s="15"/>
      <c r="Q67" s="15"/>
      <c r="R67"/>
      <c r="S67"/>
      <c r="T67"/>
      <c r="U67" s="13"/>
      <c r="V67" s="97"/>
      <c r="W67" s="97"/>
      <c r="X67" s="97"/>
      <c r="AB67" s="407" t="s">
        <v>713</v>
      </c>
      <c r="AC67" s="155" t="str">
        <f>IFERROR(IF(OR($D$13="",$D$13="Not Listed"),"",INDEX('Income Limits'!$C$3:$C$266,MATCH($V$13,County,0))),"")</f>
        <v/>
      </c>
      <c r="AD67" s="156" t="str">
        <f>IFERROR(IF(OR($D$13="",$D$13="Not Listed"),"",INDEX('Income Limits'!$D$3:$D$266,MATCH($V$13,County,0))),"")</f>
        <v/>
      </c>
      <c r="AE67" s="156" t="str">
        <f>IFERROR(IF(OR($D$13="",$D$13="Not Listed"),"",INDEX('Income Limits'!$E$3:$E$266,MATCH($V$13,County,0))),"")</f>
        <v/>
      </c>
      <c r="AF67" s="156" t="str">
        <f>IFERROR(IF(OR($D$13="",$D$13="Not Listed"),"",INDEX('Income Limits'!$F$3:$F$266,MATCH($V$13,County,0))),"")</f>
        <v/>
      </c>
      <c r="AG67" s="156" t="str">
        <f>IFERROR(IF(OR($D$13="",$D$13="Not Listed"),"",INDEX('Income Limits'!$G$3:$G$266,MATCH($V$13,County,0))),"")</f>
        <v/>
      </c>
      <c r="AH67" s="156" t="str">
        <f>IFERROR(IF(OR($D$13="",$D$13="Not Listed"),"",INDEX('Income Limits'!$H$3:$H$266,MATCH($V$13,County,0))),"")</f>
        <v/>
      </c>
      <c r="AI67" s="156" t="str">
        <f>IFERROR(IF(OR($D$13="",$D$13="Not Listed"),"",INDEX('Income Limits'!$I$3:$I$266,MATCH($V$13,County,0))),"")</f>
        <v/>
      </c>
      <c r="AJ67" s="156" t="str">
        <f>IFERROR(IF(OR($D$13="",$D$13="Not Listed"),"",INDEX('Income Limits'!$J$3:$J$266,MATCH($V$13,County,0))),"")</f>
        <v/>
      </c>
      <c r="AK67" s="247"/>
    </row>
    <row r="68" spans="1:37" s="245" customFormat="1" ht="13.5" customHeight="1">
      <c r="A68" s="49"/>
      <c r="B68" s="13"/>
      <c r="C68" s="15"/>
      <c r="D68" s="15"/>
      <c r="E68" s="15"/>
      <c r="F68" s="15"/>
      <c r="G68" s="15"/>
      <c r="H68" s="15"/>
      <c r="I68" s="15"/>
      <c r="J68" s="15"/>
      <c r="K68" s="15"/>
      <c r="L68" s="76"/>
      <c r="M68" s="15"/>
      <c r="N68" s="15"/>
      <c r="O68" s="15"/>
      <c r="P68" s="15"/>
      <c r="Q68" s="15"/>
      <c r="R68"/>
      <c r="S68"/>
      <c r="T68"/>
      <c r="U68" s="13"/>
      <c r="V68" s="246"/>
      <c r="W68" s="97"/>
      <c r="X68" s="97"/>
      <c r="AB68" s="407" t="s">
        <v>714</v>
      </c>
      <c r="AC68" s="155" t="str">
        <f>IFERROR(IF($J$15&lt;&gt;"",($AC$67*2)*0.6,""),"")</f>
        <v/>
      </c>
      <c r="AD68" s="156" t="str">
        <f>IFERROR(IF($K$15&lt;&gt;"",($AD$67*2)*0.6,""),"")</f>
        <v/>
      </c>
      <c r="AE68" s="156" t="str">
        <f>IFERROR(IF($L$15&lt;&gt;"",($AE$67*2)*0.6,""),"")</f>
        <v/>
      </c>
      <c r="AF68" s="156" t="str">
        <f>IFERROR(IF($L$15&lt;&gt;"",($AF$67*2)*0.6,""),"")</f>
        <v/>
      </c>
      <c r="AG68" s="156" t="str">
        <f>IFERROR(IF($L$15&lt;&gt;"",($AG$67*2)*0.6,""),"")</f>
        <v/>
      </c>
      <c r="AH68" s="156" t="str">
        <f>IFERROR(IF($L$15&lt;&gt;"",($AH$67*2)*0.6,""),"")</f>
        <v/>
      </c>
      <c r="AI68" s="156" t="str">
        <f>IFERROR(IF($L$15&lt;&gt;"",($AI$67*2)*0.6,""),"")</f>
        <v/>
      </c>
      <c r="AJ68" s="156" t="str">
        <f>IFERROR(IF($L$15&lt;&gt;"",($AJ$67*2)*0.6,""),"")</f>
        <v/>
      </c>
      <c r="AK68" s="247"/>
    </row>
    <row r="69" spans="1:37" s="245" customFormat="1" ht="13.5" customHeight="1">
      <c r="A69" s="49"/>
      <c r="B69" s="13"/>
      <c r="C69" s="15"/>
      <c r="D69" s="15"/>
      <c r="E69" s="15"/>
      <c r="F69" s="15"/>
      <c r="G69" s="15"/>
      <c r="H69" s="15"/>
      <c r="I69" s="15"/>
      <c r="J69" s="15"/>
      <c r="K69" s="15"/>
      <c r="L69" s="15"/>
      <c r="M69" s="15"/>
      <c r="N69" s="15"/>
      <c r="O69" s="15"/>
      <c r="P69" s="15"/>
      <c r="Q69" s="15"/>
      <c r="R69"/>
      <c r="S69"/>
      <c r="T69"/>
      <c r="U69" s="13"/>
      <c r="V69" s="97"/>
      <c r="W69" s="97"/>
      <c r="X69" s="97"/>
      <c r="AB69" s="407" t="s">
        <v>715</v>
      </c>
      <c r="AC69" s="155" t="str">
        <f>IFERROR(IF($J$15&lt;&gt;"",($AC$67*2)*0.7,""),"")</f>
        <v/>
      </c>
      <c r="AD69" s="156" t="str">
        <f>IFERROR(IF($K$15&lt;&gt;"",($AD$67*2)*0.7,""),"")</f>
        <v/>
      </c>
      <c r="AE69" s="156" t="str">
        <f>IFERROR(IF($L$15&lt;&gt;"",($AE$67*2)*0.7,""),"")</f>
        <v/>
      </c>
      <c r="AF69" s="156" t="str">
        <f>IFERROR(IF($L$15&lt;&gt;"",($AF$67*2)*0.7,""),"")</f>
        <v/>
      </c>
      <c r="AG69" s="156" t="str">
        <f>IFERROR(IF($L$15&lt;&gt;"",($AG$67*2)*0.7,""),"")</f>
        <v/>
      </c>
      <c r="AH69" s="156" t="str">
        <f>IFERROR(IF($L$15&lt;&gt;"",($AH$67*2)*0.7,""),"")</f>
        <v/>
      </c>
      <c r="AI69" s="156" t="str">
        <f>IFERROR(IF($L$15&lt;&gt;"",($AI$67*2)*0.7,""),"")</f>
        <v/>
      </c>
      <c r="AJ69" s="156" t="str">
        <f>IFERROR(IF($L$15&lt;&gt;"",($AJ$67*2)*0.7,""),"")</f>
        <v/>
      </c>
      <c r="AK69" s="247"/>
    </row>
    <row r="70" spans="1:37" s="245" customFormat="1" ht="13.5" customHeight="1">
      <c r="A70" s="49"/>
      <c r="B70" s="13"/>
      <c r="C70" s="76"/>
      <c r="D70" s="76"/>
      <c r="E70" s="76"/>
      <c r="F70" s="76"/>
      <c r="G70" s="76"/>
      <c r="H70" s="76"/>
      <c r="I70" s="76"/>
      <c r="J70" s="76"/>
      <c r="K70" s="76"/>
      <c r="L70" s="15"/>
      <c r="M70" s="15"/>
      <c r="N70" s="15"/>
      <c r="O70" s="15"/>
      <c r="P70" s="15"/>
      <c r="Q70" s="15"/>
      <c r="R70"/>
      <c r="S70"/>
      <c r="T70"/>
      <c r="U70" s="13"/>
      <c r="V70" s="97"/>
      <c r="W70" s="97"/>
      <c r="X70" s="97"/>
      <c r="AB70" s="406" t="s">
        <v>716</v>
      </c>
      <c r="AC70" s="155" t="str">
        <f>IFERROR(IF(OR($D$13="",$D$13="Not Listed"),"",INDEX('Income Limits'!$S$3:$S$266,MATCH($V$13,County,0))),"")</f>
        <v/>
      </c>
      <c r="AD70" s="156" t="str">
        <f>IFERROR(IF(OR($D$13="",$D$13="Not Listed"),"",INDEX('Income Limits'!$T$3:$T$266,MATCH($V$13,County,0))),"")</f>
        <v/>
      </c>
      <c r="AE70" s="156" t="str">
        <f>IFERROR(IF(OR($D$13="",$D$13="Not Listed"),"",INDEX('Income Limits'!$U$3:$U$266,MATCH($V$13,County,0))),"")</f>
        <v/>
      </c>
      <c r="AF70" s="156" t="str">
        <f>IFERROR(IF(OR($D$13="",$D$13="Not Listed"),"",INDEX('Income Limits'!$V$3:$V$266,MATCH($V$13,County,0))),"")</f>
        <v/>
      </c>
      <c r="AG70" s="156" t="str">
        <f>IFERROR(IF(OR($D$13="",$D$13="Not Listed"),"",INDEX('Income Limits'!$W$3:$W$266,MATCH($V$13,County,0))),"")</f>
        <v/>
      </c>
      <c r="AH70" s="156" t="str">
        <f>IFERROR(IF(OR($D$13="",$D$13="Not Listed"),"",INDEX('Income Limits'!$X$3:$X$266,MATCH($V$13,County,0))),"")</f>
        <v/>
      </c>
      <c r="AI70" s="156" t="str">
        <f>IFERROR(IF(OR($D$13="",$D$13="Not Listed"),"",INDEX('Income Limits'!$Y$3:$Y$266,MATCH($V$13,County,0))),"")</f>
        <v/>
      </c>
      <c r="AJ70" s="156" t="str">
        <f>IFERROR(IF(OR($D$13="",$D$13="Not Listed"),"",INDEX('Income Limits'!$Z$3:$Z$266,MATCH($V$13,County,0))),"")</f>
        <v/>
      </c>
      <c r="AK70" s="247"/>
    </row>
    <row r="71" spans="1:37" s="245" customFormat="1" ht="13.5" customHeight="1">
      <c r="A71" s="49"/>
      <c r="B71" s="15"/>
      <c r="C71" s="15"/>
      <c r="D71" s="15"/>
      <c r="E71" s="15"/>
      <c r="F71" s="15"/>
      <c r="G71" s="15"/>
      <c r="H71" s="15"/>
      <c r="I71" s="15"/>
      <c r="J71" s="15"/>
      <c r="K71" s="15"/>
      <c r="L71" s="15"/>
      <c r="M71" s="15"/>
      <c r="N71" s="15"/>
      <c r="O71" s="15"/>
      <c r="P71" s="15"/>
      <c r="Q71" s="15"/>
      <c r="R71"/>
      <c r="S71"/>
      <c r="T71"/>
      <c r="U71" s="13"/>
      <c r="V71" s="97"/>
      <c r="W71" s="97"/>
      <c r="X71" s="97"/>
      <c r="Y71" s="247"/>
      <c r="Z71" s="247"/>
      <c r="AA71" s="247"/>
      <c r="AB71" s="247"/>
      <c r="AC71" s="247"/>
      <c r="AD71" s="247"/>
      <c r="AE71" s="247"/>
      <c r="AF71" s="247"/>
      <c r="AG71" s="247"/>
      <c r="AH71" s="247"/>
      <c r="AI71" s="247"/>
      <c r="AJ71" s="247"/>
      <c r="AK71" s="247"/>
    </row>
    <row r="72" spans="1:37" ht="13.5" customHeight="1">
      <c r="U72" s="13"/>
      <c r="V72" s="82"/>
      <c r="W72" s="83"/>
      <c r="X72" s="83"/>
      <c r="Y72" s="83"/>
      <c r="Z72" s="83"/>
      <c r="AA72" s="83"/>
      <c r="AB72" s="247"/>
    </row>
    <row r="73" spans="1:37">
      <c r="C73" s="245"/>
      <c r="D73" s="245"/>
      <c r="E73" s="245"/>
      <c r="F73" s="245"/>
      <c r="G73" s="245"/>
      <c r="H73" s="245"/>
      <c r="I73" s="245"/>
      <c r="J73" s="245"/>
      <c r="K73" s="245"/>
      <c r="U73" s="13"/>
      <c r="X73" s="245"/>
      <c r="Y73" s="247"/>
      <c r="Z73" s="247"/>
      <c r="AB73" s="247"/>
    </row>
    <row r="74" spans="1:37">
      <c r="C74" s="245"/>
      <c r="D74" s="245"/>
      <c r="E74" s="245"/>
      <c r="F74" s="245"/>
      <c r="G74" s="245"/>
      <c r="H74" s="245"/>
      <c r="I74" s="245"/>
      <c r="J74" s="245"/>
      <c r="K74" s="245"/>
      <c r="U74" s="13"/>
      <c r="X74" s="245"/>
    </row>
    <row r="75" spans="1:37">
      <c r="B75" s="13"/>
      <c r="C75" s="245"/>
      <c r="D75" s="245"/>
      <c r="E75" s="245"/>
      <c r="F75" s="245"/>
      <c r="G75" s="245"/>
      <c r="H75" s="245"/>
      <c r="I75" s="245"/>
      <c r="J75" s="245"/>
      <c r="K75" s="245"/>
      <c r="M75" s="76"/>
      <c r="N75" s="76"/>
      <c r="O75" s="76"/>
      <c r="P75" s="76"/>
      <c r="U75" s="13"/>
      <c r="V75" s="248"/>
      <c r="X75" s="245"/>
    </row>
    <row r="76" spans="1:37">
      <c r="B76" s="13"/>
      <c r="G76" s="245"/>
      <c r="M76" s="76"/>
      <c r="N76" s="76"/>
      <c r="O76" s="76"/>
      <c r="P76" s="76"/>
      <c r="Q76" s="76"/>
      <c r="V76" s="248"/>
      <c r="X76" s="245"/>
    </row>
    <row r="77" spans="1:37">
      <c r="B77" s="13"/>
      <c r="G77" s="245"/>
      <c r="V77" s="248"/>
      <c r="W77" s="247"/>
      <c r="X77" s="247"/>
    </row>
    <row r="78" spans="1:37">
      <c r="B78" s="13"/>
      <c r="V78" s="248"/>
      <c r="W78" s="247"/>
      <c r="X78" s="247"/>
    </row>
    <row r="79" spans="1:37">
      <c r="B79" s="13"/>
      <c r="L79" s="76"/>
      <c r="M79" s="245"/>
      <c r="N79" s="245"/>
      <c r="O79" s="245"/>
      <c r="P79" s="245"/>
      <c r="Q79" s="245"/>
      <c r="V79" s="248"/>
      <c r="W79" s="247"/>
      <c r="X79" s="247"/>
    </row>
    <row r="80" spans="1:37">
      <c r="B80" s="7"/>
      <c r="L80" s="76"/>
      <c r="M80" s="245"/>
      <c r="N80" s="245"/>
      <c r="O80" s="245"/>
      <c r="P80" s="245"/>
      <c r="Q80" s="245"/>
      <c r="U80" s="87"/>
      <c r="V80" s="217"/>
    </row>
    <row r="81" spans="2:21">
      <c r="M81" s="245"/>
      <c r="N81" s="245"/>
      <c r="O81" s="245"/>
      <c r="P81" s="245"/>
      <c r="Q81" s="245"/>
    </row>
    <row r="82" spans="2:21">
      <c r="M82" s="245"/>
      <c r="N82" s="245"/>
      <c r="O82" s="245"/>
      <c r="P82" s="245"/>
      <c r="Q82" s="245"/>
    </row>
    <row r="83" spans="2:21">
      <c r="B83" s="7"/>
      <c r="L83" s="245"/>
      <c r="M83" s="245"/>
      <c r="N83" s="245"/>
      <c r="O83" s="245"/>
      <c r="P83" s="245"/>
      <c r="Q83" s="245"/>
      <c r="U83" s="248"/>
    </row>
    <row r="84" spans="2:21">
      <c r="B84" s="7"/>
      <c r="L84" s="245"/>
      <c r="U84" s="248"/>
    </row>
    <row r="85" spans="2:21">
      <c r="B85" s="17"/>
      <c r="C85" s="245"/>
      <c r="D85" s="245"/>
      <c r="E85" s="245"/>
      <c r="F85" s="245"/>
      <c r="H85" s="245"/>
      <c r="I85" s="245"/>
      <c r="J85" s="245"/>
      <c r="K85" s="245"/>
      <c r="L85" s="245"/>
      <c r="U85" s="248"/>
    </row>
    <row r="86" spans="2:21">
      <c r="B86" s="7"/>
      <c r="C86" s="245"/>
      <c r="D86" s="245"/>
      <c r="E86" s="245"/>
      <c r="F86" s="245"/>
      <c r="G86" s="245"/>
      <c r="H86" s="245"/>
      <c r="I86" s="245"/>
      <c r="J86" s="245"/>
      <c r="K86" s="245"/>
      <c r="L86" s="245"/>
      <c r="U86" s="248"/>
    </row>
    <row r="87" spans="2:21">
      <c r="B87" s="7"/>
      <c r="C87" s="245"/>
      <c r="D87" s="245"/>
      <c r="E87" s="245"/>
      <c r="F87" s="245"/>
      <c r="G87" s="245"/>
      <c r="H87" s="245"/>
      <c r="I87" s="245"/>
      <c r="J87" s="245"/>
      <c r="K87" s="245"/>
      <c r="L87" s="245"/>
      <c r="U87" s="248"/>
    </row>
    <row r="88" spans="2:21">
      <c r="B88" s="249"/>
    </row>
    <row r="89" spans="2:21">
      <c r="B89" s="249"/>
    </row>
    <row r="90" spans="2:21">
      <c r="B90" s="245"/>
    </row>
    <row r="91" spans="2:21">
      <c r="B91" s="245"/>
    </row>
    <row r="92" spans="2:21">
      <c r="B92" s="245"/>
    </row>
    <row r="94" spans="2:21">
      <c r="B94" s="7"/>
    </row>
    <row r="97" spans="12:17">
      <c r="M97" s="49"/>
      <c r="N97" s="49"/>
      <c r="O97" s="49"/>
      <c r="P97" s="49"/>
      <c r="Q97" s="49"/>
    </row>
    <row r="98" spans="12:17">
      <c r="M98" s="49"/>
      <c r="N98" s="49"/>
      <c r="O98" s="49"/>
      <c r="P98" s="49"/>
      <c r="Q98" s="49"/>
    </row>
    <row r="99" spans="12:17">
      <c r="M99" s="49"/>
      <c r="N99" s="49"/>
      <c r="O99" s="49"/>
      <c r="P99" s="49"/>
      <c r="Q99" s="49"/>
    </row>
    <row r="100" spans="12:17">
      <c r="M100" s="49"/>
      <c r="N100" s="49"/>
      <c r="O100" s="49"/>
      <c r="P100" s="10"/>
      <c r="Q100" s="49"/>
    </row>
    <row r="101" spans="12:17">
      <c r="L101" s="49"/>
      <c r="M101" s="49"/>
      <c r="N101" s="49"/>
      <c r="O101" s="49"/>
      <c r="P101" s="250"/>
      <c r="Q101" s="49"/>
    </row>
    <row r="102" spans="12:17">
      <c r="L102" s="49"/>
      <c r="M102" s="49"/>
      <c r="N102" s="49"/>
      <c r="O102" s="49"/>
      <c r="P102" s="250"/>
      <c r="Q102" s="49"/>
    </row>
    <row r="103" spans="12:17">
      <c r="L103" s="49"/>
      <c r="M103" s="49"/>
      <c r="N103" s="49"/>
      <c r="O103" s="49"/>
      <c r="P103" s="250"/>
      <c r="Q103" s="49"/>
    </row>
    <row r="104" spans="12:17">
      <c r="L104" s="49"/>
      <c r="M104" s="49"/>
      <c r="N104" s="49"/>
      <c r="O104" s="49"/>
      <c r="P104" s="250"/>
      <c r="Q104" s="49"/>
    </row>
    <row r="105" spans="12:17">
      <c r="L105" s="49"/>
      <c r="M105" s="49"/>
      <c r="N105" s="49"/>
      <c r="O105" s="49"/>
      <c r="P105" s="250"/>
      <c r="Q105" s="49"/>
    </row>
    <row r="106" spans="12:17">
      <c r="L106" s="49"/>
      <c r="M106" s="49"/>
      <c r="N106" s="49"/>
      <c r="O106" s="49"/>
      <c r="P106" s="250"/>
      <c r="Q106" s="49"/>
    </row>
    <row r="107" spans="12:17">
      <c r="L107" s="49"/>
      <c r="M107" s="49"/>
      <c r="N107" s="49"/>
      <c r="O107" s="49"/>
      <c r="P107" s="250"/>
      <c r="Q107" s="49"/>
    </row>
    <row r="108" spans="12:17">
      <c r="L108" s="49"/>
      <c r="M108" s="49"/>
      <c r="N108" s="49"/>
      <c r="O108" s="49"/>
      <c r="P108" s="250"/>
      <c r="Q108" s="49"/>
    </row>
    <row r="109" spans="12:17">
      <c r="L109" s="49"/>
      <c r="M109" s="49"/>
      <c r="N109" s="49"/>
      <c r="O109" s="49"/>
      <c r="P109" s="49"/>
      <c r="Q109" s="49"/>
    </row>
    <row r="110" spans="12:17">
      <c r="L110" s="49"/>
      <c r="M110" s="49"/>
      <c r="N110" s="49"/>
      <c r="O110" s="49"/>
      <c r="P110" s="49"/>
      <c r="Q110" s="49"/>
    </row>
    <row r="111" spans="12:17">
      <c r="L111" s="49"/>
      <c r="M111" s="49"/>
      <c r="N111" s="49"/>
      <c r="O111" s="49"/>
      <c r="P111" s="49"/>
      <c r="Q111" s="49"/>
    </row>
    <row r="112" spans="12:17">
      <c r="L112" s="49"/>
      <c r="M112" s="49"/>
      <c r="N112" s="49"/>
      <c r="O112" s="49"/>
      <c r="P112" s="49"/>
      <c r="Q112" s="49"/>
    </row>
    <row r="113" spans="12:17">
      <c r="L113" s="49"/>
      <c r="M113" s="49"/>
      <c r="N113" s="49"/>
      <c r="O113" s="49"/>
      <c r="P113" s="49"/>
      <c r="Q113" s="49"/>
    </row>
    <row r="114" spans="12:17">
      <c r="L114" s="49"/>
      <c r="M114" s="49"/>
      <c r="N114" s="49"/>
      <c r="O114" s="49"/>
      <c r="P114" s="49"/>
      <c r="Q114" s="49"/>
    </row>
    <row r="115" spans="12:17">
      <c r="L115" s="49"/>
      <c r="M115" s="49"/>
      <c r="N115" s="49"/>
      <c r="O115" s="49"/>
      <c r="P115" s="49"/>
      <c r="Q115" s="49"/>
    </row>
    <row r="116" spans="12:17">
      <c r="L116" s="49"/>
      <c r="M116" s="49"/>
      <c r="N116" s="49"/>
      <c r="O116" s="49"/>
      <c r="P116" s="49"/>
      <c r="Q116" s="49"/>
    </row>
    <row r="117" spans="12:17">
      <c r="L117" s="49"/>
    </row>
    <row r="118" spans="12:17">
      <c r="L118" s="49"/>
    </row>
    <row r="119" spans="12:17">
      <c r="L119" s="49"/>
    </row>
    <row r="120" spans="12:17">
      <c r="L120" s="49"/>
    </row>
  </sheetData>
  <sheetProtection password="C9A3" sheet="1" objects="1" scenarios="1" selectLockedCells="1"/>
  <mergeCells count="30">
    <mergeCell ref="D13:E13"/>
    <mergeCell ref="M65:O65"/>
    <mergeCell ref="M64:O64"/>
    <mergeCell ref="N62:O62"/>
    <mergeCell ref="C51:Q51"/>
    <mergeCell ref="C53:Q53"/>
    <mergeCell ref="D57:D58"/>
    <mergeCell ref="J57:J58"/>
    <mergeCell ref="E57:E58"/>
    <mergeCell ref="F57:F58"/>
    <mergeCell ref="G57:G58"/>
    <mergeCell ref="H57:H58"/>
    <mergeCell ref="I57:I58"/>
    <mergeCell ref="K58:O58"/>
    <mergeCell ref="H4:Q4"/>
    <mergeCell ref="O1:Q1"/>
    <mergeCell ref="L60:O60"/>
    <mergeCell ref="G27:Q27"/>
    <mergeCell ref="C16:G16"/>
    <mergeCell ref="C27:D27"/>
    <mergeCell ref="P2:Q2"/>
    <mergeCell ref="J12:Q12"/>
    <mergeCell ref="F8:F9"/>
    <mergeCell ref="D17:E17"/>
    <mergeCell ref="D18:G18"/>
    <mergeCell ref="B19:F19"/>
    <mergeCell ref="B13:C13"/>
    <mergeCell ref="K9:L9"/>
    <mergeCell ref="B14:C14"/>
    <mergeCell ref="D14:G14"/>
  </mergeCells>
  <conditionalFormatting sqref="O13:Q13 J14:Q18">
    <cfRule type="containsErrors" dxfId="228" priority="42">
      <formula>ISERROR(J13)</formula>
    </cfRule>
  </conditionalFormatting>
  <conditionalFormatting sqref="B13:C13">
    <cfRule type="expression" dxfId="227" priority="29">
      <formula>$B$13="Select Project State:"</formula>
    </cfRule>
  </conditionalFormatting>
  <conditionalFormatting sqref="B14:C14">
    <cfRule type="expression" dxfId="226" priority="28">
      <formula>$B$14="Select Project County:"</formula>
    </cfRule>
  </conditionalFormatting>
  <conditionalFormatting sqref="L60">
    <cfRule type="expression" dxfId="225" priority="16">
      <formula>$L$60="Input the Number of Units Reserved for Homeless:"</formula>
    </cfRule>
  </conditionalFormatting>
  <conditionalFormatting sqref="AH65:AJ65 AC66:AJ70">
    <cfRule type="containsErrors" dxfId="224" priority="15">
      <formula>ISERROR(AC65)</formula>
    </cfRule>
  </conditionalFormatting>
  <conditionalFormatting sqref="B19:G19 C18:G18 B17:E17 B16:C16">
    <cfRule type="expression" dxfId="223" priority="14">
      <formula>$D$13&lt;&gt;"Not Listed"</formula>
    </cfRule>
  </conditionalFormatting>
  <conditionalFormatting sqref="B14:G14">
    <cfRule type="expression" dxfId="222" priority="9">
      <formula>IF(OR($D$13="Not Listed",$D$13="NAHASDA"),1,0)</formula>
    </cfRule>
  </conditionalFormatting>
  <conditionalFormatting sqref="F13:G13">
    <cfRule type="expression" dxfId="221" priority="8">
      <formula>IF(OR($D$13="Not Listed",$D$13="NAHASDA"),1,0)</formula>
    </cfRule>
  </conditionalFormatting>
  <conditionalFormatting sqref="K58:O58">
    <cfRule type="expression" dxfId="220" priority="5">
      <formula>$K$58="Input the Number of Units Reserved for Special Needs:"</formula>
    </cfRule>
  </conditionalFormatting>
  <conditionalFormatting sqref="I29:I50 I52 I54">
    <cfRule type="expression" dxfId="219" priority="4">
      <formula>IF(AND($F29&gt;0,$G29&lt;&gt;"",$H29=0),1,0)</formula>
    </cfRule>
  </conditionalFormatting>
  <conditionalFormatting sqref="L29:L50 L52">
    <cfRule type="expression" dxfId="218" priority="3">
      <formula>$C29="&gt;80% AMI"</formula>
    </cfRule>
  </conditionalFormatting>
  <conditionalFormatting sqref="R13">
    <cfRule type="containsErrors" dxfId="217" priority="2">
      <formula>ISERROR(R13)</formula>
    </cfRule>
  </conditionalFormatting>
  <conditionalFormatting sqref="S13">
    <cfRule type="containsErrors" dxfId="216" priority="1">
      <formula>ISERROR(S13)</formula>
    </cfRule>
  </conditionalFormatting>
  <conditionalFormatting sqref="H4 D6:O6">
    <cfRule type="expression" dxfId="215" priority="1479">
      <formula>$H$4="Input the project name and AHP Project Number at the top of the 'Instructions' tab."</formula>
    </cfRule>
  </conditionalFormatting>
  <dataValidations xWindow="221" yWindow="397" count="17">
    <dataValidation type="custom" allowBlank="1" showInputMessage="1" showErrorMessage="1" error="Value must be numeric and cannot exceed two decimals." sqref="O52">
      <formula1>O52:Q53=INT(O52:Q53*100)/100</formula1>
    </dataValidation>
    <dataValidation type="whole" allowBlank="1" showInputMessage="1" showErrorMessage="1" error="A whole number is required." sqref="E52 E54 E29:E50">
      <formula1>0</formula1>
      <formula2>999999</formula2>
    </dataValidation>
    <dataValidation type="list" allowBlank="1" showInputMessage="1" showErrorMessage="1" errorTitle="Select From Dropdown" error="Please select the target AMI from the dropdown." sqref="C52 C29:C50">
      <formula1>$AB$46:$AB$52</formula1>
    </dataValidation>
    <dataValidation type="whole" allowBlank="1" showInputMessage="1" showErrorMessage="1" error="Whole numbers are required._x000a__x000a_If the family size exceeds ten, contact the Seattle Bank for instructions." prompt="Input the assumed family size as a whole number only._x000a__x000a_Note: the HUD Income Limit table above only displays income limits for households sizes up to eight persons. However, the rent schedule allows for household sizes up to ten._x000a_" sqref="K52 K54 K29:K50">
      <formula1>0</formula1>
      <formula2>10</formula2>
    </dataValidation>
    <dataValidation type="list" allowBlank="1" showInputMessage="1" showErrorMessage="1" error="Select the project state from the dropdown. _x000a__x000a_Select 'Not Listed' for projects located outstide of the Seattle Bank's district." prompt="Select the state (or NAHASDA if applicable) and county location to populate the the table with the current year HUD income limits._x000a__x000a_If state is not listed, select &quot;Not Listed&quot; to manually input the state, county, and AMI." sqref="D13:E13">
      <formula1>$AA$8:$AA$19</formula1>
    </dataValidation>
    <dataValidation type="list" allowBlank="1" showInputMessage="1" showErrorMessage="1" errorTitle="Please Select" error="Please select the number of bedrooms from the dropdown." sqref="D54 D29:D50 D52">
      <formula1>$AC$46:$AC$53</formula1>
    </dataValidation>
    <dataValidation type="custom" allowBlank="1" showInputMessage="1" showErrorMessage="1" sqref="C8:F9 I8:P8 G9:I9 Q7:T8 R9:T9 K9 M9">
      <formula1>"&lt;0&gt;0"</formula1>
    </dataValidation>
    <dataValidation type="whole" allowBlank="1" showInputMessage="1" showErrorMessage="1" error="A whole number is required. Input 0 if not units are reserved for homeless households." sqref="P60 P58">
      <formula1>0</formula1>
      <formula2>9999999</formula2>
    </dataValidation>
    <dataValidation type="custom" allowBlank="1" showInputMessage="1" showErrorMessage="1" error="Value must be numeric and cannot exceed two decimals." sqref="H52 H54 H29:H50">
      <formula1>H29=INT(H29*100)/100</formula1>
    </dataValidation>
    <dataValidation type="custom" allowBlank="1" showInputMessage="1" showErrorMessage="1" error="Value must be numeric and cannot exceed two decimals." sqref="O29:O30 O39:O50">
      <formula1>O29:Q31=INT(O29:Q31*100)/100</formula1>
    </dataValidation>
    <dataValidation type="custom" allowBlank="1" showInputMessage="1" showErrorMessage="1" error="Value must be numeric and cannot exceed two decimals." sqref="O31:O38">
      <formula1>O31:Q39=INT(O31:Q39*100)/100</formula1>
    </dataValidation>
    <dataValidation type="custom" allowBlank="1" showInputMessage="1" showErrorMessage="1" error="Value must be numeric and cannot exceed two decimals." sqref="O54">
      <formula1>O54:Q58=INT(O54:Q58*100)/100</formula1>
    </dataValidation>
    <dataValidation type="list" allowBlank="1" showInputMessage="1" showErrorMessage="1" sqref="D14:G14">
      <formula1>IF($X$10=1,$AA$7,IF(D13=$AA$9,$AB$7:$AB$36,IF(D13=$AA$10,$AC$7:$AC$8,IF(D13=$AA$11,$AD$7:$AD$12,IF(D13=$AA$12,$AE$7:$AE$51,IF(D13=$AA$13,$AF$7:$AF$63,IF(D13=$AA$14,$AG$7:$AG$43,IF(D13=$AA$15,$AH$7:$AH$36, IF(D13=$AA$16,$AI$7:$AI$46, IF(D13=$AA$17,$AJ$7:$AJ$30))))))))))</formula1>
    </dataValidation>
    <dataValidation type="list" allowBlank="1" showInputMessage="1" showErrorMessage="1" error="Type of subsidy must be selected from the dropdown and is only allowed if subsidy amount is greater than $0." sqref="I54 I52">
      <formula1>IF(H52&gt;0,$X$17:$X$22)</formula1>
    </dataValidation>
    <dataValidation type="list" allowBlank="1" showInputMessage="1" showErrorMessage="1" sqref="I29:I50">
      <formula1>IF(H29&gt;0,$X$17:$X$22,"None")</formula1>
    </dataValidation>
    <dataValidation type="custom" allowBlank="1" showInputMessage="1" showErrorMessage="1" error="Value must be numeric and cannot exceed two decimals." prompt="Input the total rent recieved for each unit. Do not net out any subsidy that is received." sqref="F29:F50 F52 F54">
      <formula1>F29=INT(F29*100)/100</formula1>
    </dataValidation>
    <dataValidation type="custom" allowBlank="1" showInputMessage="1" showErrorMessage="1" error="Total Unit Rent Received cannot equal Tenant Paid Rent if a subsidy is selected." prompt="Input the amount of rent paid by the tenant after subsidies. " sqref="G54 G52 G29:G50">
      <formula1>T29=1</formula1>
    </dataValidation>
  </dataValidations>
  <hyperlinks>
    <hyperlink ref="E9" location="'A(2)-Uses Statement'!H12" display="'A(2)-Uses Statement'!H12"/>
    <hyperlink ref="D9" location="'A(1)-Sources Stmt.'!D19" display="'A(1)-Sources Stmt.'!D19"/>
    <hyperlink ref="I9" location="'E-Feasibility Analysis'!M22" display="'E-Feasibility Analysis'!M22"/>
    <hyperlink ref="M9" location="'Validation Warnings'!M9" display="'Validation Warnings'!M9"/>
    <hyperlink ref="H9" location="'C(2)-Commercial ProForma'!K16" display="'C(2)-Commercial ProForma'!K16"/>
    <hyperlink ref="G9" location="'C(1)-Rental Operating ProForma'!L16" display="'C(1)-Rental Operating ProForma'!L16"/>
    <hyperlink ref="K9" display="Tenant Income_x000a_Verification (TIV)"/>
    <hyperlink ref="C9" location="'Project Info and Instructions'!F16" display="Project Info. &amp; Instructions"/>
    <hyperlink ref="J9" location="'E(2)-Sources &amp; Uses Analysis'!G19" display="Sources &amp; Uses Analysis"/>
    <hyperlink ref="K9:L9" location="'F-TIV'!O17" display="'F-TIV'!O17"/>
  </hyperlinks>
  <printOptions horizontalCentered="1"/>
  <pageMargins left="0.25" right="0.25" top="0.75" bottom="0.26" header="0.5" footer="0.34"/>
  <pageSetup scale="66" orientation="landscape" verticalDpi="360"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1277" id="{80E20C16-B2F8-4728-8978-9C86AA2BFE5F}">
            <xm:f>'Project Info and Instructions'!$F$20="Owner-occupied"</xm:f>
            <x14:dxf>
              <font>
                <strike/>
                <color theme="0" tint="-0.34998626667073579"/>
              </font>
              <fill>
                <gradientFill degree="90">
                  <stop position="0">
                    <color theme="0" tint="-0.1490218817712943"/>
                  </stop>
                  <stop position="1">
                    <color theme="0" tint="-0.1490218817712943"/>
                  </stop>
                </gradientFill>
              </fill>
            </x14:dxf>
          </x14:cfRule>
          <xm:sqref>G9</xm:sqref>
        </x14:conditionalFormatting>
        <x14:conditionalFormatting xmlns:xm="http://schemas.microsoft.com/office/excel/2006/main">
          <x14:cfRule type="expression" priority="1279" id="{F4CC8C03-ED82-449D-9772-5EC1F48719A6}">
            <xm:f>'Project Info and Instructions'!$F$20="Owner-occupied"</xm:f>
            <x14:dxf>
              <font>
                <strike/>
                <color theme="0" tint="-0.34998626667073579"/>
              </font>
              <fill>
                <patternFill>
                  <bgColor theme="0"/>
                </patternFill>
              </fill>
            </x14:dxf>
          </x14:cfRule>
          <xm:sqref>F8:F9</xm:sqref>
        </x14:conditionalFormatting>
        <x14:conditionalFormatting xmlns:xm="http://schemas.microsoft.com/office/excel/2006/main">
          <x14:cfRule type="expression" priority="1282" id="{483D4B0B-C198-45AD-8D1D-02F7117B9B43}">
            <xm:f>'Project Info and Instructions'!$F$22="No"</xm:f>
            <x14:dxf>
              <font>
                <strike/>
                <color theme="0" tint="-0.34998626667073579"/>
              </font>
              <fill>
                <patternFill>
                  <bgColor theme="0" tint="-0.14996795556505021"/>
                </patternFill>
              </fill>
            </x14:dxf>
          </x14:cfRule>
          <x14:cfRule type="expression" priority="1283" id="{2F71C8C2-9C2A-445B-A4CE-64945A7637FB}">
            <xm:f>'Project Info and Instructions'!$F$20="Owner-occupied"</xm:f>
            <x14:dxf>
              <font>
                <strike/>
                <color theme="0" tint="-0.34998626667073579"/>
              </font>
              <fill>
                <patternFill>
                  <bgColor theme="0" tint="-0.14996795556505021"/>
                </patternFill>
              </fill>
            </x14:dxf>
          </x14:cfRule>
          <xm:sqref>H9</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BJ370"/>
  <sheetViews>
    <sheetView showGridLines="0" zoomScale="90" zoomScaleNormal="90" zoomScalePageLayoutView="80" workbookViewId="0">
      <pane ySplit="14" topLeftCell="A15" activePane="bottomLeft" state="frozen"/>
      <selection pane="bottomLeft" activeCell="L16" sqref="L16"/>
    </sheetView>
  </sheetViews>
  <sheetFormatPr defaultColWidth="9.140625" defaultRowHeight="13.5" customHeight="1"/>
  <cols>
    <col min="1" max="1" width="1" style="15" customWidth="1"/>
    <col min="2" max="2" width="3.28515625" style="49" customWidth="1"/>
    <col min="3" max="3" width="4.42578125" style="15" customWidth="1"/>
    <col min="4" max="4" width="5" style="15" customWidth="1"/>
    <col min="5" max="6" width="5.42578125" style="15" customWidth="1"/>
    <col min="7" max="7" width="11.85546875" style="15" customWidth="1"/>
    <col min="8" max="8" width="10" style="15" customWidth="1"/>
    <col min="9" max="9" width="0.5703125" style="15" customWidth="1"/>
    <col min="10" max="10" width="0.7109375" style="15" customWidth="1"/>
    <col min="11" max="17" width="14.28515625" style="15" customWidth="1"/>
    <col min="18" max="18" width="14.28515625" customWidth="1"/>
    <col min="19" max="19" width="14.28515625" style="798" hidden="1" customWidth="1"/>
    <col min="20" max="20" width="15.28515625" style="956" hidden="1" customWidth="1"/>
    <col min="21" max="21" width="9.140625" style="273" hidden="1" customWidth="1"/>
    <col min="22" max="22" width="9.140625" style="1236" hidden="1" customWidth="1"/>
    <col min="23" max="24" width="9.140625" style="956" hidden="1" customWidth="1"/>
    <col min="25" max="25" width="10.42578125" style="956" hidden="1" customWidth="1"/>
    <col min="26" max="28" width="9.140625" style="956" hidden="1" customWidth="1"/>
    <col min="29" max="30" width="14.28515625" style="956" hidden="1" customWidth="1"/>
    <col min="31" max="33" width="16.42578125" style="956" hidden="1" customWidth="1"/>
    <col min="34" max="35" width="9.140625" style="956" hidden="1" customWidth="1"/>
    <col min="36" max="36" width="10" style="956" hidden="1" customWidth="1"/>
    <col min="37" max="37" width="10.28515625" style="956" hidden="1" customWidth="1"/>
    <col min="38" max="39" width="9.140625" style="956" hidden="1" customWidth="1"/>
    <col min="40" max="40" width="9.85546875" style="956" hidden="1" customWidth="1"/>
    <col min="41" max="58" width="9.140625" style="956" hidden="1" customWidth="1"/>
    <col min="59" max="62" width="9.140625" style="15" hidden="1" customWidth="1"/>
    <col min="63" max="109" width="9.140625" style="15" customWidth="1"/>
    <col min="110" max="16384" width="9.140625" style="15"/>
  </cols>
  <sheetData>
    <row r="1" spans="1:58" s="49" customFormat="1" ht="15" customHeight="1">
      <c r="M1" s="953"/>
      <c r="N1" s="953"/>
      <c r="O1" s="1937" t="s">
        <v>961</v>
      </c>
      <c r="P1" s="1937"/>
      <c r="Q1" s="1937"/>
      <c r="R1" s="1277"/>
      <c r="S1" s="1239"/>
      <c r="T1" s="172"/>
      <c r="U1" s="273"/>
      <c r="V1" s="273"/>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row>
    <row r="2" spans="1:58" ht="13.5" customHeight="1">
      <c r="C2" s="49"/>
      <c r="D2" s="49"/>
      <c r="E2" s="49"/>
      <c r="F2" s="49"/>
      <c r="G2" s="49"/>
      <c r="H2" s="49"/>
      <c r="I2" s="49"/>
      <c r="P2" s="1833" t="str">
        <f>'Project Info and Instructions'!O2</f>
        <v>Updated January 2018</v>
      </c>
      <c r="Q2" s="1833"/>
      <c r="R2" s="909"/>
      <c r="S2" s="705"/>
      <c r="U2" s="1236"/>
    </row>
    <row r="3" spans="1:58" ht="6.75" customHeight="1">
      <c r="C3" s="13"/>
      <c r="D3" s="13"/>
      <c r="E3" s="13"/>
      <c r="F3" s="13"/>
      <c r="G3" s="13"/>
      <c r="H3" s="13"/>
      <c r="I3" s="13"/>
      <c r="O3" s="258"/>
      <c r="P3" s="1278"/>
      <c r="Q3" s="1278"/>
      <c r="R3" s="1278"/>
      <c r="S3" s="1240"/>
      <c r="T3" s="10"/>
      <c r="U3" s="74"/>
      <c r="V3" s="74"/>
      <c r="Y3" s="955"/>
      <c r="Z3" s="955"/>
      <c r="AA3" s="955"/>
      <c r="AB3" s="955"/>
      <c r="AC3" s="955"/>
      <c r="AD3" s="955"/>
      <c r="AE3" s="955"/>
      <c r="AF3" s="955"/>
      <c r="AG3" s="955"/>
      <c r="AH3" s="955"/>
      <c r="AI3" s="955"/>
      <c r="AJ3" s="955"/>
      <c r="AK3" s="955"/>
      <c r="AL3" s="955"/>
      <c r="AM3" s="955"/>
      <c r="AN3" s="955"/>
      <c r="AO3" s="955"/>
      <c r="AP3" s="955"/>
    </row>
    <row r="4" spans="1:58" s="1173" customFormat="1" ht="15" customHeight="1">
      <c r="B4" s="1174"/>
      <c r="C4" s="1175"/>
      <c r="D4" s="1175"/>
      <c r="E4" s="1175"/>
      <c r="F4" s="1175"/>
      <c r="G4" s="1175"/>
      <c r="H4" s="1175"/>
      <c r="I4" s="1175"/>
      <c r="L4" s="1834" t="str">
        <f>IF('Project Info and Instructions'!W35&gt;0,"Input the project name and AHP Project Number at the top of the 'Instructions' tab.",'Project Info and Instructions'!F18&amp;" - "&amp;'Project Info and Instructions'!F16)</f>
        <v>Input the project name and AHP Project Number at the top of the 'Instructions' tab.</v>
      </c>
      <c r="M4" s="1834"/>
      <c r="N4" s="1834"/>
      <c r="O4" s="1834"/>
      <c r="P4" s="1834"/>
      <c r="Q4" s="1834"/>
      <c r="S4" s="1241"/>
      <c r="T4" s="1242"/>
      <c r="U4" s="1243"/>
      <c r="V4" s="1243"/>
      <c r="W4" s="1244"/>
      <c r="X4" s="1244"/>
      <c r="Y4" s="1245"/>
      <c r="Z4" s="1245"/>
      <c r="AA4" s="1245"/>
      <c r="AB4" s="1245"/>
      <c r="AC4" s="1245"/>
      <c r="AD4" s="1245"/>
      <c r="AE4" s="1245"/>
      <c r="AF4" s="1245"/>
      <c r="AG4" s="1245"/>
      <c r="AH4" s="1245"/>
      <c r="AI4" s="1245"/>
      <c r="AJ4" s="1245"/>
      <c r="AK4" s="1245"/>
      <c r="AL4" s="1245"/>
      <c r="AM4" s="1245"/>
      <c r="AN4" s="1245"/>
      <c r="AO4" s="1245"/>
      <c r="AP4" s="1245"/>
      <c r="AQ4" s="1244"/>
      <c r="AR4" s="1244"/>
      <c r="AS4" s="1244"/>
      <c r="AT4" s="1244"/>
      <c r="AU4" s="1244"/>
      <c r="AV4" s="1244"/>
      <c r="AW4" s="1244"/>
      <c r="AX4" s="1244"/>
      <c r="AY4" s="1244"/>
      <c r="AZ4" s="1244"/>
      <c r="BA4" s="1244"/>
      <c r="BB4" s="1244"/>
      <c r="BC4" s="1244"/>
      <c r="BD4" s="1244"/>
      <c r="BE4" s="1244"/>
      <c r="BF4" s="1244"/>
    </row>
    <row r="5" spans="1:58" ht="7.5" customHeight="1" thickBot="1">
      <c r="C5" s="13"/>
      <c r="D5" s="13"/>
      <c r="E5" s="13"/>
      <c r="F5" s="13"/>
      <c r="G5" s="13"/>
      <c r="H5" s="13"/>
      <c r="I5" s="13"/>
      <c r="J5" s="13"/>
      <c r="K5" s="69"/>
      <c r="L5" s="69"/>
      <c r="M5" s="405"/>
      <c r="O5" s="104"/>
      <c r="P5" s="104"/>
      <c r="Q5" s="104"/>
      <c r="T5" s="1246"/>
      <c r="U5" s="74"/>
      <c r="V5" s="74"/>
      <c r="W5" s="10"/>
      <c r="X5" s="10"/>
      <c r="Y5" s="955"/>
      <c r="Z5" s="955"/>
      <c r="AA5" s="955"/>
      <c r="AB5" s="955"/>
      <c r="AC5" s="955"/>
      <c r="AD5" s="955"/>
      <c r="AE5" s="955"/>
      <c r="AF5" s="955"/>
      <c r="AG5" s="955"/>
      <c r="AH5" s="955"/>
      <c r="AI5" s="955"/>
      <c r="AJ5" s="955"/>
      <c r="AK5" s="955"/>
      <c r="AL5" s="955"/>
      <c r="AM5" s="955"/>
      <c r="AN5" s="955"/>
      <c r="AO5" s="955"/>
      <c r="AP5" s="955"/>
    </row>
    <row r="6" spans="1:58" ht="30.75" customHeight="1" thickBot="1">
      <c r="C6" s="1172"/>
      <c r="D6" s="1172"/>
      <c r="E6" s="1172"/>
      <c r="F6" s="1172"/>
      <c r="G6" s="1172"/>
      <c r="H6" s="1172"/>
      <c r="I6" s="1172"/>
      <c r="J6" s="1172"/>
      <c r="K6" s="1172"/>
      <c r="L6" s="1172"/>
      <c r="M6" s="1172"/>
      <c r="N6" s="1172"/>
      <c r="O6" s="1172"/>
      <c r="P6" s="100"/>
      <c r="Q6" s="105"/>
      <c r="T6" s="1247"/>
      <c r="U6" s="1247"/>
      <c r="V6" s="74"/>
      <c r="W6" s="10"/>
      <c r="X6" s="10"/>
      <c r="Y6" s="955"/>
      <c r="Z6" s="955"/>
      <c r="AA6" s="955"/>
      <c r="AB6" s="955"/>
      <c r="AC6" s="955"/>
      <c r="AD6" s="955"/>
      <c r="AE6" s="955"/>
      <c r="AF6" s="955"/>
      <c r="AG6" s="955"/>
      <c r="AH6" s="955"/>
      <c r="AI6" s="955"/>
      <c r="AJ6" s="955"/>
      <c r="AK6" s="955"/>
      <c r="AL6" s="955"/>
      <c r="AM6" s="955"/>
      <c r="AN6" s="955"/>
      <c r="AO6" s="955"/>
      <c r="AP6" s="955"/>
    </row>
    <row r="7" spans="1:58" ht="7.5" customHeight="1" thickBot="1">
      <c r="P7" s="165"/>
      <c r="Q7" s="106"/>
      <c r="U7" s="1236"/>
      <c r="Y7" s="955"/>
      <c r="Z7" s="955"/>
      <c r="AA7" s="955"/>
      <c r="AB7" s="955"/>
      <c r="AC7" s="955"/>
      <c r="AD7" s="955"/>
      <c r="AE7" s="955"/>
      <c r="AF7" s="955"/>
      <c r="AG7" s="955"/>
      <c r="AH7" s="955"/>
      <c r="AI7" s="955"/>
      <c r="AJ7" s="955"/>
      <c r="AK7" s="955"/>
      <c r="AL7" s="955"/>
      <c r="AM7" s="955"/>
      <c r="AN7" s="955"/>
      <c r="AO7" s="955"/>
      <c r="AP7" s="955"/>
    </row>
    <row r="8" spans="1:58" ht="3.75" customHeight="1" thickBot="1">
      <c r="A8" s="40"/>
      <c r="B8" s="587"/>
      <c r="C8" s="495"/>
      <c r="D8" s="2"/>
      <c r="E8" s="2"/>
      <c r="F8" s="2"/>
      <c r="G8" s="2"/>
      <c r="H8" s="2"/>
      <c r="I8" s="2"/>
      <c r="J8" s="2"/>
      <c r="K8" s="1906" t="s">
        <v>852</v>
      </c>
      <c r="N8" s="2"/>
      <c r="O8" s="2"/>
      <c r="P8" s="2"/>
      <c r="Q8" s="106"/>
      <c r="Y8" s="955"/>
      <c r="Z8" s="955"/>
      <c r="AA8" s="955"/>
      <c r="AB8" s="955"/>
      <c r="AC8" s="955"/>
      <c r="AD8" s="955"/>
      <c r="AE8" s="955"/>
      <c r="AF8" s="955"/>
      <c r="AG8" s="955"/>
      <c r="AH8" s="955"/>
      <c r="AI8" s="955"/>
      <c r="AJ8" s="955"/>
      <c r="AK8" s="955"/>
      <c r="AL8" s="955"/>
      <c r="AM8" s="955"/>
      <c r="AN8" s="955"/>
      <c r="AO8" s="955"/>
      <c r="AP8" s="955"/>
    </row>
    <row r="9" spans="1:58" s="91" customFormat="1" ht="36.75" customHeight="1">
      <c r="A9" s="40"/>
      <c r="B9" s="1824" t="s">
        <v>937</v>
      </c>
      <c r="C9" s="1824"/>
      <c r="D9" s="1824"/>
      <c r="E9" s="1773" t="s">
        <v>838</v>
      </c>
      <c r="F9" s="1774"/>
      <c r="G9" s="1299" t="s">
        <v>832</v>
      </c>
      <c r="H9" s="1824" t="s">
        <v>833</v>
      </c>
      <c r="I9" s="1824"/>
      <c r="J9" s="1824"/>
      <c r="K9" s="1907"/>
      <c r="L9" s="806" t="s">
        <v>834</v>
      </c>
      <c r="M9" s="804" t="s">
        <v>836</v>
      </c>
      <c r="N9" s="1299" t="s">
        <v>1171</v>
      </c>
      <c r="O9" s="805" t="s">
        <v>853</v>
      </c>
      <c r="P9" s="910" t="s">
        <v>855</v>
      </c>
      <c r="S9" s="697"/>
      <c r="T9" s="956"/>
      <c r="U9" s="956"/>
      <c r="V9" s="956"/>
      <c r="W9" s="956"/>
      <c r="X9" s="956"/>
      <c r="Y9" s="956"/>
      <c r="Z9" s="956"/>
      <c r="AA9" s="956"/>
      <c r="AB9" s="956"/>
      <c r="AC9" s="956"/>
      <c r="AD9" s="956"/>
      <c r="AE9" s="956"/>
      <c r="AF9" s="956"/>
      <c r="AG9" s="956"/>
      <c r="AH9" s="956"/>
      <c r="AI9" s="956"/>
      <c r="AJ9" s="956"/>
      <c r="AK9" s="956"/>
      <c r="AL9" s="956"/>
      <c r="AM9" s="956"/>
      <c r="AN9" s="956"/>
      <c r="AO9" s="956"/>
      <c r="AP9" s="956"/>
      <c r="AQ9" s="956"/>
      <c r="AR9" s="956"/>
      <c r="AS9" s="956"/>
      <c r="AT9" s="956"/>
      <c r="AU9" s="956"/>
      <c r="AV9" s="956"/>
      <c r="AW9" s="956"/>
      <c r="AX9" s="956"/>
      <c r="AY9" s="956"/>
      <c r="AZ9" s="956"/>
      <c r="BA9" s="956"/>
      <c r="BB9" s="956"/>
      <c r="BC9" s="956"/>
      <c r="BD9" s="956"/>
      <c r="BE9" s="956"/>
      <c r="BF9" s="956"/>
    </row>
    <row r="10" spans="1:58" ht="3" customHeight="1">
      <c r="B10" s="704"/>
      <c r="C10" s="704"/>
      <c r="D10" s="704"/>
      <c r="E10" s="704"/>
      <c r="F10" s="704"/>
      <c r="G10" s="704"/>
      <c r="H10" s="704"/>
      <c r="I10" s="704"/>
      <c r="J10" s="704"/>
      <c r="K10" s="169"/>
      <c r="L10" s="135"/>
      <c r="M10" s="135"/>
      <c r="N10" s="135"/>
      <c r="O10" s="135"/>
      <c r="P10" s="135"/>
      <c r="Q10" s="135"/>
      <c r="S10" s="172"/>
      <c r="U10" s="956"/>
      <c r="V10" s="956"/>
    </row>
    <row r="11" spans="1:58" ht="4.5" customHeight="1">
      <c r="B11" s="182"/>
      <c r="C11" s="182"/>
      <c r="D11" s="182"/>
      <c r="E11" s="182"/>
      <c r="F11" s="182"/>
      <c r="G11" s="182"/>
      <c r="H11" s="182"/>
      <c r="I11" s="182"/>
      <c r="J11" s="182"/>
      <c r="K11" s="49"/>
      <c r="L11" s="182"/>
      <c r="N11" s="260"/>
      <c r="O11" s="213"/>
      <c r="U11" s="956"/>
      <c r="V11" s="956"/>
    </row>
    <row r="12" spans="1:58" s="91" customFormat="1" ht="4.5" customHeight="1">
      <c r="D12" s="143"/>
      <c r="E12" s="144"/>
      <c r="F12" s="144"/>
      <c r="G12" s="144"/>
      <c r="H12" s="138"/>
      <c r="I12" s="138"/>
      <c r="J12" s="138"/>
      <c r="K12" s="137"/>
      <c r="L12" s="261"/>
      <c r="M12" s="137"/>
      <c r="N12" s="137"/>
      <c r="O12" s="137"/>
      <c r="P12" s="166"/>
      <c r="Q12" s="262"/>
      <c r="R12"/>
      <c r="S12" s="798"/>
      <c r="T12" s="956"/>
      <c r="U12" s="956"/>
      <c r="V12" s="1248"/>
      <c r="W12" s="150"/>
      <c r="X12" s="150"/>
      <c r="Y12" s="181"/>
      <c r="Z12" s="955"/>
      <c r="AA12" s="956"/>
      <c r="AB12" s="956"/>
      <c r="AC12" s="956"/>
      <c r="AD12" s="956"/>
      <c r="AE12" s="956"/>
      <c r="AF12" s="956"/>
      <c r="AG12" s="956"/>
      <c r="AH12" s="956"/>
      <c r="AI12" s="956"/>
      <c r="AJ12" s="956"/>
      <c r="AK12" s="956"/>
      <c r="AL12" s="956"/>
      <c r="AM12" s="956"/>
      <c r="AN12" s="956"/>
      <c r="AO12" s="956"/>
      <c r="AP12" s="956"/>
      <c r="AQ12" s="956"/>
      <c r="AR12" s="956"/>
      <c r="AS12" s="956"/>
      <c r="AT12" s="956"/>
      <c r="AU12" s="956"/>
      <c r="AV12" s="956"/>
      <c r="AW12" s="956"/>
      <c r="AX12" s="956"/>
      <c r="AY12" s="956"/>
      <c r="AZ12" s="956"/>
      <c r="BA12" s="956"/>
      <c r="BB12" s="956"/>
      <c r="BC12" s="956"/>
      <c r="BD12" s="956"/>
      <c r="BE12" s="956"/>
      <c r="BF12" s="956"/>
    </row>
    <row r="13" spans="1:58" ht="4.5" customHeight="1">
      <c r="C13" s="13"/>
      <c r="D13" s="49"/>
      <c r="E13" s="49"/>
      <c r="F13" s="49"/>
      <c r="G13" s="49"/>
      <c r="H13" s="49"/>
      <c r="I13" s="49"/>
      <c r="J13" s="49"/>
      <c r="K13" s="36"/>
      <c r="L13" s="36"/>
      <c r="M13" s="36"/>
      <c r="N13" s="36"/>
      <c r="O13" s="37"/>
      <c r="P13" s="37"/>
      <c r="Q13" s="13"/>
      <c r="T13" s="10"/>
      <c r="U13" s="74"/>
      <c r="V13" s="1235"/>
      <c r="W13" s="955"/>
      <c r="X13" s="955"/>
      <c r="Y13" s="955"/>
      <c r="Z13" s="955"/>
      <c r="AA13" s="955"/>
      <c r="AB13" s="955"/>
      <c r="AC13" s="955"/>
      <c r="AD13" s="955"/>
      <c r="AE13" s="955"/>
      <c r="AF13" s="955"/>
      <c r="AG13" s="955"/>
      <c r="AH13" s="955"/>
      <c r="AI13" s="955"/>
      <c r="AJ13" s="955"/>
      <c r="AK13" s="955"/>
      <c r="AL13" s="955"/>
      <c r="AM13" s="955"/>
      <c r="AN13" s="955"/>
      <c r="AO13" s="955"/>
      <c r="AP13" s="955"/>
    </row>
    <row r="14" spans="1:58" ht="12.75" customHeight="1">
      <c r="D14" s="432"/>
      <c r="E14" s="432"/>
      <c r="F14" s="432"/>
      <c r="G14" s="432"/>
      <c r="H14" s="432"/>
      <c r="I14" s="432"/>
      <c r="K14" s="1581" t="s">
        <v>8</v>
      </c>
      <c r="L14" s="1582" t="s">
        <v>9</v>
      </c>
      <c r="M14" s="1582" t="s">
        <v>10</v>
      </c>
      <c r="N14" s="1582" t="s">
        <v>11</v>
      </c>
      <c r="O14" s="1582" t="s">
        <v>12</v>
      </c>
      <c r="P14" s="1582" t="s">
        <v>13</v>
      </c>
      <c r="Q14" s="1583" t="s">
        <v>14</v>
      </c>
      <c r="T14" s="10"/>
      <c r="U14" s="74"/>
      <c r="V14" s="1235"/>
      <c r="W14" s="955"/>
      <c r="X14" s="955"/>
      <c r="AL14" s="955"/>
      <c r="AM14" s="955"/>
      <c r="AN14" s="955"/>
      <c r="AO14" s="955"/>
      <c r="AP14" s="955"/>
    </row>
    <row r="15" spans="1:58" ht="21" customHeight="1" thickBot="1">
      <c r="B15" s="15"/>
      <c r="C15" s="1980" t="s">
        <v>809</v>
      </c>
      <c r="D15" s="1980"/>
      <c r="E15" s="1980"/>
      <c r="F15" s="1980"/>
      <c r="G15" s="1980"/>
      <c r="H15" s="1980"/>
      <c r="I15" s="432"/>
      <c r="U15" s="956"/>
      <c r="V15" s="956"/>
    </row>
    <row r="16" spans="1:58" ht="13.5" customHeight="1" thickTop="1" thickBot="1">
      <c r="C16" s="10"/>
      <c r="D16" s="1858" t="s">
        <v>112</v>
      </c>
      <c r="E16" s="1858"/>
      <c r="F16" s="1858"/>
      <c r="G16" s="1858"/>
      <c r="H16" s="1858"/>
      <c r="I16" s="168"/>
      <c r="J16" s="596"/>
      <c r="K16" s="964">
        <f>'B-Rent Schedule'!P65</f>
        <v>0</v>
      </c>
      <c r="L16" s="720"/>
      <c r="M16" s="721"/>
      <c r="N16" s="721"/>
      <c r="O16" s="721"/>
      <c r="P16" s="721"/>
      <c r="Q16" s="721"/>
      <c r="T16" s="10"/>
      <c r="U16" s="74"/>
      <c r="V16" s="1235"/>
      <c r="W16" s="955"/>
      <c r="X16" s="955"/>
      <c r="AL16" s="955"/>
      <c r="AM16" s="955"/>
      <c r="AN16" s="955"/>
      <c r="AO16" s="955"/>
      <c r="AP16" s="955"/>
    </row>
    <row r="17" spans="2:58" ht="13.5" customHeight="1" thickTop="1">
      <c r="B17" s="1982" t="s">
        <v>814</v>
      </c>
      <c r="C17" s="1982"/>
      <c r="D17" s="1974"/>
      <c r="E17" s="1975"/>
      <c r="F17" s="1975"/>
      <c r="G17" s="1975"/>
      <c r="H17" s="1979"/>
      <c r="I17" s="594"/>
      <c r="J17" s="40"/>
      <c r="K17" s="723"/>
      <c r="L17" s="724"/>
      <c r="M17" s="724"/>
      <c r="N17" s="724"/>
      <c r="O17" s="724"/>
      <c r="P17" s="724"/>
      <c r="Q17" s="725"/>
      <c r="U17" s="956">
        <f>IF(D17="",1,0)</f>
        <v>1</v>
      </c>
      <c r="V17" s="956"/>
    </row>
    <row r="18" spans="2:58" s="76" customFormat="1" ht="13.5" customHeight="1">
      <c r="B18" s="1217"/>
      <c r="C18" s="1218"/>
      <c r="D18" s="1972"/>
      <c r="E18" s="1973"/>
      <c r="F18" s="1973"/>
      <c r="G18" s="1973"/>
      <c r="H18" s="1978"/>
      <c r="I18" s="594"/>
      <c r="J18" s="595"/>
      <c r="K18" s="726"/>
      <c r="L18" s="727"/>
      <c r="M18" s="727"/>
      <c r="N18" s="727"/>
      <c r="O18" s="727"/>
      <c r="P18" s="727"/>
      <c r="Q18" s="728"/>
      <c r="R18"/>
      <c r="S18" s="798"/>
      <c r="T18" s="45"/>
      <c r="U18" s="956">
        <f>IF(D18="",1,0)</f>
        <v>1</v>
      </c>
      <c r="V18" s="375"/>
      <c r="W18" s="19"/>
      <c r="X18" s="19"/>
      <c r="Y18" s="376"/>
      <c r="Z18" s="14"/>
      <c r="AA18" s="955"/>
      <c r="AB18" s="955"/>
      <c r="AC18" s="955"/>
      <c r="AD18" s="955"/>
      <c r="AE18" s="955"/>
      <c r="AF18" s="955"/>
      <c r="AG18" s="955"/>
      <c r="AH18" s="955"/>
      <c r="AI18" s="955"/>
      <c r="AJ18" s="955"/>
      <c r="AK18" s="955"/>
      <c r="AL18" s="19"/>
      <c r="AM18" s="19"/>
      <c r="AN18" s="19"/>
      <c r="AO18" s="19"/>
      <c r="AP18" s="19"/>
      <c r="AQ18" s="41"/>
      <c r="AR18" s="41"/>
      <c r="AS18" s="41"/>
      <c r="AT18" s="41"/>
      <c r="AU18" s="41"/>
      <c r="AV18" s="41"/>
      <c r="AW18" s="41"/>
      <c r="AX18" s="41"/>
      <c r="AY18" s="41"/>
      <c r="AZ18" s="41"/>
      <c r="BA18" s="41"/>
      <c r="BB18" s="41"/>
      <c r="BC18" s="41"/>
      <c r="BD18" s="41"/>
      <c r="BE18" s="41"/>
      <c r="BF18" s="41"/>
    </row>
    <row r="19" spans="2:58" s="76" customFormat="1" ht="13.5" customHeight="1" thickBot="1">
      <c r="B19" s="1217"/>
      <c r="C19" s="1218"/>
      <c r="D19" s="1970"/>
      <c r="E19" s="1971"/>
      <c r="F19" s="1971"/>
      <c r="G19" s="1971"/>
      <c r="H19" s="1989"/>
      <c r="I19" s="594"/>
      <c r="J19" s="595"/>
      <c r="K19" s="729"/>
      <c r="L19" s="730"/>
      <c r="M19" s="730"/>
      <c r="N19" s="730"/>
      <c r="O19" s="730"/>
      <c r="P19" s="730"/>
      <c r="Q19" s="731"/>
      <c r="R19"/>
      <c r="S19" s="798"/>
      <c r="T19" s="45"/>
      <c r="U19" s="956">
        <f>IF(D19="",1,0)</f>
        <v>1</v>
      </c>
      <c r="V19" s="375"/>
      <c r="W19" s="19"/>
      <c r="X19" s="19"/>
      <c r="Y19" s="956"/>
      <c r="Z19" s="956"/>
      <c r="AA19" s="956"/>
      <c r="AB19" s="956"/>
      <c r="AC19" s="956"/>
      <c r="AD19" s="956"/>
      <c r="AE19" s="956"/>
      <c r="AF19" s="956"/>
      <c r="AG19" s="956"/>
      <c r="AH19" s="956"/>
      <c r="AI19" s="956"/>
      <c r="AJ19" s="956"/>
      <c r="AK19" s="956"/>
      <c r="AL19" s="19"/>
      <c r="AM19" s="19"/>
      <c r="AN19" s="19"/>
      <c r="AO19" s="19"/>
      <c r="AP19" s="19"/>
      <c r="AQ19" s="41"/>
      <c r="AR19" s="41"/>
      <c r="AS19" s="41"/>
      <c r="AT19" s="41"/>
      <c r="AU19" s="41"/>
      <c r="AV19" s="41"/>
      <c r="AW19" s="41"/>
      <c r="AX19" s="41"/>
      <c r="AY19" s="41"/>
      <c r="AZ19" s="41"/>
      <c r="BA19" s="41"/>
      <c r="BB19" s="41"/>
      <c r="BC19" s="41"/>
      <c r="BD19" s="41"/>
      <c r="BE19" s="41"/>
      <c r="BF19" s="41"/>
    </row>
    <row r="20" spans="2:58" s="76" customFormat="1" ht="13.5" customHeight="1" thickTop="1" thickBot="1">
      <c r="B20" s="77"/>
      <c r="C20" s="45"/>
      <c r="D20" s="1863" t="s">
        <v>0</v>
      </c>
      <c r="E20" s="1863"/>
      <c r="F20" s="1863"/>
      <c r="G20" s="1863"/>
      <c r="H20" s="1863"/>
      <c r="I20" s="1863"/>
      <c r="J20" s="590"/>
      <c r="K20" s="975">
        <f>ROUND(SUM(K16:K19),0)</f>
        <v>0</v>
      </c>
      <c r="L20" s="976">
        <f>ROUND(SUM(L16:L19),0)</f>
        <v>0</v>
      </c>
      <c r="M20" s="976">
        <f t="shared" ref="M20:P20" si="0">ROUND(SUM(M16:M19),0)</f>
        <v>0</v>
      </c>
      <c r="N20" s="976">
        <f t="shared" si="0"/>
        <v>0</v>
      </c>
      <c r="O20" s="976">
        <f t="shared" si="0"/>
        <v>0</v>
      </c>
      <c r="P20" s="976">
        <f t="shared" si="0"/>
        <v>0</v>
      </c>
      <c r="Q20" s="977">
        <f>ROUND(SUM(Q16:Q19),0)</f>
        <v>0</v>
      </c>
      <c r="R20"/>
      <c r="S20" s="798"/>
      <c r="T20" s="45"/>
      <c r="U20" s="71"/>
      <c r="V20" s="26"/>
      <c r="W20" s="19"/>
      <c r="X20" s="19"/>
      <c r="Y20" s="376"/>
      <c r="Z20" s="14"/>
      <c r="AA20" s="955"/>
      <c r="AB20" s="955"/>
      <c r="AC20" s="955"/>
      <c r="AD20" s="955"/>
      <c r="AE20" s="955"/>
      <c r="AF20" s="955"/>
      <c r="AG20" s="955"/>
      <c r="AH20" s="955"/>
      <c r="AI20" s="955"/>
      <c r="AJ20" s="955"/>
      <c r="AK20" s="955"/>
      <c r="AL20" s="19"/>
      <c r="AM20" s="19"/>
      <c r="AN20" s="19"/>
      <c r="AO20" s="19"/>
      <c r="AP20" s="19"/>
      <c r="AQ20" s="41"/>
      <c r="AR20" s="41"/>
      <c r="AS20" s="41"/>
      <c r="AT20" s="41"/>
      <c r="AU20" s="41"/>
      <c r="AV20" s="41"/>
      <c r="AW20" s="41"/>
      <c r="AX20" s="41"/>
      <c r="AY20" s="41"/>
      <c r="AZ20" s="41"/>
      <c r="BA20" s="41"/>
      <c r="BB20" s="41"/>
      <c r="BC20" s="41"/>
      <c r="BD20" s="41"/>
      <c r="BE20" s="41"/>
      <c r="BF20" s="41"/>
    </row>
    <row r="21" spans="2:58" ht="1.5" customHeight="1" thickTop="1" thickBot="1">
      <c r="B21" s="15"/>
      <c r="C21" s="40"/>
      <c r="D21" s="10"/>
      <c r="E21" s="10"/>
      <c r="F21" s="10"/>
      <c r="G21" s="10"/>
      <c r="H21" s="10"/>
      <c r="I21" s="10"/>
      <c r="J21" s="40"/>
      <c r="K21" s="1995">
        <f>ROUND(+K20*$H$22,0)</f>
        <v>0</v>
      </c>
      <c r="L21" s="1997">
        <f>ROUND(+L20*$H$22,0)</f>
        <v>0</v>
      </c>
      <c r="M21" s="1986">
        <f t="shared" ref="M21:Q21" si="1">ROUND(+M20*$H$22,0)</f>
        <v>0</v>
      </c>
      <c r="N21" s="1986">
        <f t="shared" si="1"/>
        <v>0</v>
      </c>
      <c r="O21" s="1986">
        <f t="shared" si="1"/>
        <v>0</v>
      </c>
      <c r="P21" s="1986">
        <f t="shared" si="1"/>
        <v>0</v>
      </c>
      <c r="Q21" s="1992">
        <f t="shared" si="1"/>
        <v>0</v>
      </c>
      <c r="U21" s="956"/>
      <c r="V21" s="956"/>
    </row>
    <row r="22" spans="2:58" ht="12.75" customHeight="1" thickTop="1" thickBot="1">
      <c r="C22" s="10"/>
      <c r="D22" s="40"/>
      <c r="E22" s="1976" t="str">
        <f>IF(H22="","Input Vacancy Rate (%)","Vacancy Rate (%)")</f>
        <v>Input Vacancy Rate (%)</v>
      </c>
      <c r="F22" s="1976"/>
      <c r="G22" s="1977"/>
      <c r="H22" s="849"/>
      <c r="I22" s="591"/>
      <c r="J22" s="592"/>
      <c r="K22" s="1995"/>
      <c r="L22" s="1997"/>
      <c r="M22" s="1987"/>
      <c r="N22" s="1987"/>
      <c r="O22" s="1987"/>
      <c r="P22" s="1987"/>
      <c r="Q22" s="1993"/>
      <c r="T22" s="10"/>
      <c r="U22" s="74"/>
      <c r="V22" s="1235"/>
      <c r="W22" s="955"/>
      <c r="X22" s="955"/>
      <c r="Y22" s="376"/>
      <c r="Z22" s="14"/>
      <c r="AA22" s="955"/>
      <c r="AB22" s="955"/>
      <c r="AC22" s="955"/>
      <c r="AD22" s="955"/>
      <c r="AE22" s="955"/>
      <c r="AF22" s="955"/>
      <c r="AG22" s="955"/>
      <c r="AH22" s="955"/>
      <c r="AI22" s="955"/>
      <c r="AJ22" s="955"/>
      <c r="AK22" s="955"/>
      <c r="AL22" s="955"/>
      <c r="AM22" s="955"/>
      <c r="AN22" s="955"/>
      <c r="AO22" s="955"/>
      <c r="AP22" s="955"/>
    </row>
    <row r="23" spans="2:58" ht="1.5" customHeight="1" thickTop="1" thickBot="1">
      <c r="B23" s="15"/>
      <c r="C23" s="40"/>
      <c r="D23" s="10"/>
      <c r="E23" s="10"/>
      <c r="F23" s="10"/>
      <c r="G23" s="10"/>
      <c r="H23" s="10"/>
      <c r="I23" s="10"/>
      <c r="J23" s="40"/>
      <c r="K23" s="1996"/>
      <c r="L23" s="1986"/>
      <c r="M23" s="1988"/>
      <c r="N23" s="1988"/>
      <c r="O23" s="1988"/>
      <c r="P23" s="1988"/>
      <c r="Q23" s="1994"/>
      <c r="U23" s="956"/>
      <c r="V23" s="956"/>
    </row>
    <row r="24" spans="2:58" s="206" customFormat="1" ht="13.5" customHeight="1" thickTop="1" thickBot="1">
      <c r="B24" s="201"/>
      <c r="C24" s="582"/>
      <c r="D24" s="1854" t="s">
        <v>911</v>
      </c>
      <c r="E24" s="1854"/>
      <c r="F24" s="1854"/>
      <c r="G24" s="1854"/>
      <c r="H24" s="1854"/>
      <c r="I24" s="1854"/>
      <c r="J24" s="593"/>
      <c r="K24" s="978">
        <f>K20-K21</f>
        <v>0</v>
      </c>
      <c r="L24" s="979">
        <f t="shared" ref="L24:Q24" si="2">L20-L21</f>
        <v>0</v>
      </c>
      <c r="M24" s="979">
        <f t="shared" si="2"/>
        <v>0</v>
      </c>
      <c r="N24" s="979">
        <f t="shared" si="2"/>
        <v>0</v>
      </c>
      <c r="O24" s="979">
        <f t="shared" si="2"/>
        <v>0</v>
      </c>
      <c r="P24" s="979">
        <f t="shared" si="2"/>
        <v>0</v>
      </c>
      <c r="Q24" s="980">
        <f t="shared" si="2"/>
        <v>0</v>
      </c>
      <c r="R24"/>
      <c r="S24" s="798"/>
      <c r="T24" s="582"/>
      <c r="U24" s="205"/>
      <c r="V24" s="1249"/>
      <c r="W24" s="361"/>
      <c r="X24" s="361"/>
      <c r="Y24" s="1250"/>
      <c r="Z24" s="1251"/>
      <c r="AA24" s="361"/>
      <c r="AB24" s="361"/>
      <c r="AC24" s="361"/>
      <c r="AD24" s="361"/>
      <c r="AE24" s="361"/>
      <c r="AF24" s="361"/>
      <c r="AG24" s="361"/>
      <c r="AH24" s="361"/>
      <c r="AI24" s="361"/>
      <c r="AJ24" s="361"/>
      <c r="AK24" s="361"/>
      <c r="AL24" s="361"/>
      <c r="AM24" s="361"/>
      <c r="AN24" s="361"/>
      <c r="AO24" s="361"/>
      <c r="AP24" s="361"/>
      <c r="AQ24" s="361"/>
      <c r="AR24" s="361"/>
      <c r="AS24" s="361"/>
      <c r="AT24" s="361"/>
      <c r="AU24" s="361"/>
      <c r="AV24" s="361"/>
      <c r="AW24" s="361"/>
      <c r="AX24" s="361"/>
      <c r="AY24" s="361"/>
      <c r="AZ24" s="361"/>
      <c r="BA24" s="361"/>
      <c r="BB24" s="361"/>
      <c r="BC24" s="361"/>
      <c r="BD24" s="361"/>
      <c r="BE24" s="361"/>
      <c r="BF24" s="361"/>
    </row>
    <row r="25" spans="2:58" ht="24" customHeight="1" thickTop="1">
      <c r="C25" s="1980" t="s">
        <v>810</v>
      </c>
      <c r="D25" s="1980"/>
      <c r="E25" s="1980"/>
      <c r="F25" s="1980"/>
      <c r="G25" s="1980"/>
      <c r="H25" s="1980"/>
      <c r="I25" s="432"/>
      <c r="J25" s="432"/>
      <c r="K25" s="432"/>
      <c r="L25" s="7"/>
      <c r="M25" s="7"/>
      <c r="N25" s="7"/>
      <c r="O25" s="7"/>
      <c r="P25" s="583"/>
      <c r="Q25" s="268"/>
      <c r="T25" s="10"/>
      <c r="U25" s="74"/>
      <c r="V25" s="1235"/>
      <c r="W25" s="955"/>
      <c r="X25" s="955"/>
      <c r="AL25" s="955"/>
      <c r="AM25" s="955"/>
      <c r="AN25" s="955"/>
      <c r="AO25" s="955"/>
      <c r="AP25" s="955"/>
    </row>
    <row r="26" spans="2:58" ht="13.5" customHeight="1">
      <c r="C26" s="13"/>
      <c r="D26" s="1796" t="s">
        <v>38</v>
      </c>
      <c r="E26" s="1796"/>
      <c r="F26" s="1796"/>
      <c r="G26" s="1796"/>
      <c r="H26" s="1796"/>
      <c r="I26" s="42"/>
      <c r="J26" s="588"/>
      <c r="K26" s="732"/>
      <c r="L26" s="733"/>
      <c r="M26" s="733"/>
      <c r="N26" s="733"/>
      <c r="O26" s="733"/>
      <c r="P26" s="733"/>
      <c r="Q26" s="733"/>
      <c r="T26" s="10"/>
      <c r="U26" s="74"/>
      <c r="V26" s="1235"/>
      <c r="W26" s="955"/>
      <c r="X26" s="955"/>
      <c r="Y26" s="376"/>
      <c r="Z26" s="14"/>
      <c r="AA26" s="955"/>
      <c r="AB26" s="955"/>
      <c r="AC26" s="955"/>
      <c r="AD26" s="955"/>
      <c r="AE26" s="955"/>
      <c r="AF26" s="955"/>
      <c r="AG26" s="955"/>
      <c r="AH26" s="955"/>
      <c r="AI26" s="955"/>
      <c r="AJ26" s="955"/>
      <c r="AK26" s="955"/>
      <c r="AL26" s="955"/>
      <c r="AM26" s="955"/>
      <c r="AN26" s="955"/>
      <c r="AO26" s="955"/>
      <c r="AP26" s="955"/>
    </row>
    <row r="27" spans="2:58" ht="3.75" customHeight="1">
      <c r="B27" s="15"/>
      <c r="K27" s="269"/>
      <c r="L27" s="269"/>
      <c r="M27" s="269"/>
      <c r="N27" s="269"/>
      <c r="O27" s="269"/>
      <c r="P27" s="269"/>
      <c r="Q27" s="269"/>
      <c r="U27" s="956"/>
      <c r="V27" s="956"/>
    </row>
    <row r="28" spans="2:58" ht="14.25" customHeight="1">
      <c r="I28" s="431"/>
      <c r="J28" s="267"/>
      <c r="K28" s="1238" t="s">
        <v>1</v>
      </c>
      <c r="L28" s="1238"/>
      <c r="M28" s="1238"/>
      <c r="N28" s="1238"/>
      <c r="O28" s="1238"/>
      <c r="P28" s="268"/>
      <c r="Q28" s="268"/>
      <c r="T28" s="10"/>
      <c r="U28" s="74"/>
      <c r="V28" s="1235"/>
      <c r="W28" s="955"/>
      <c r="X28" s="955"/>
      <c r="AA28" s="273"/>
      <c r="AB28" s="1252" t="s">
        <v>27</v>
      </c>
      <c r="AC28" s="1252" t="s">
        <v>28</v>
      </c>
      <c r="AD28" s="1252"/>
      <c r="AE28" s="1252" t="s">
        <v>923</v>
      </c>
      <c r="AF28" s="273"/>
      <c r="AG28" s="273" t="s">
        <v>924</v>
      </c>
      <c r="AH28" s="1991" t="s">
        <v>919</v>
      </c>
      <c r="AI28" s="1991"/>
      <c r="AJ28" s="1991"/>
      <c r="AK28" s="1991"/>
      <c r="AL28" s="955"/>
      <c r="AM28" s="955"/>
      <c r="AN28" s="955"/>
      <c r="AO28" s="955"/>
      <c r="AP28" s="955"/>
    </row>
    <row r="29" spans="2:58" s="40" customFormat="1" ht="13.5" customHeight="1">
      <c r="B29" s="172"/>
      <c r="C29" s="10"/>
      <c r="D29" s="1858" t="s">
        <v>2</v>
      </c>
      <c r="E29" s="1858"/>
      <c r="F29" s="1858"/>
      <c r="G29" s="1858"/>
      <c r="H29" s="1858"/>
      <c r="I29" s="168"/>
      <c r="J29" s="588"/>
      <c r="K29" s="735"/>
      <c r="L29" s="733"/>
      <c r="M29" s="733"/>
      <c r="N29" s="733"/>
      <c r="O29" s="733"/>
      <c r="P29" s="733"/>
      <c r="Q29" s="733"/>
      <c r="R29"/>
      <c r="S29" s="798"/>
      <c r="T29" s="10"/>
      <c r="U29" s="74"/>
      <c r="V29" s="1235"/>
      <c r="W29" s="955"/>
      <c r="X29" s="955"/>
      <c r="Y29" s="974">
        <f>IF(AX29&gt;$BA$29,0,AZ29)</f>
        <v>0</v>
      </c>
      <c r="Z29" s="271">
        <f>IF(AQ29&gt;$AT$29,0,AS29)</f>
        <v>0</v>
      </c>
      <c r="AA29" s="271">
        <f>IF(AH29&gt;$AK$29,0,AJ29)</f>
        <v>0</v>
      </c>
      <c r="AB29" s="94">
        <f>'A(1)-Sources Stmt.'!D35</f>
        <v>0</v>
      </c>
      <c r="AC29" s="94">
        <f>'A(1)-Sources Stmt.'!G35</f>
        <v>0</v>
      </c>
      <c r="AD29" s="94">
        <f>'A(1)-Sources Stmt.'!J35</f>
        <v>0</v>
      </c>
      <c r="AE29" s="95">
        <f>IF(AND('A(1)-Sources Stmt.'!P35&gt;0,'A(1)-Sources Stmt.'!P35&lt;&gt;""),ROUND('A(1)-Sources Stmt.'!P35,0),0)</f>
        <v>0</v>
      </c>
      <c r="AF29" s="528">
        <f>'A(1)-Sources Stmt.'!O35</f>
        <v>0</v>
      </c>
      <c r="AG29" s="95" t="b">
        <f>IF(AND(AC29="Permanent Loan",AD29="Conventional"),ROUND(AE29-AL29,0))</f>
        <v>0</v>
      </c>
      <c r="AH29" s="1253">
        <f>IF(AND(AG29&lt;&gt;"",AG29&gt;0,AF29&lt;1,AD29="Conventional"),1,$AK$29)</f>
        <v>0</v>
      </c>
      <c r="AI29" s="1253">
        <f>IF(AND(AF29&lt;1,AD29="Conventional"),SUMPRODUCT(--(AC29&gt;$AB$29:$AB$43)*BD29),0)</f>
        <v>0</v>
      </c>
      <c r="AJ29" s="1253">
        <f>IF(AND(AF29&lt;1,AD29="Conventional"),RANK(AI29,$AI$29:$AI$43),0)</f>
        <v>0</v>
      </c>
      <c r="AK29" s="1254">
        <f>COUNTIFS(AJ29:AJ43,"&gt;0",AD29:AD43,"Conventional")</f>
        <v>0</v>
      </c>
      <c r="AL29" s="1255">
        <f>IFERROR(ROUND(AE29*AF29,0),"")</f>
        <v>0</v>
      </c>
      <c r="AM29" s="1255"/>
      <c r="AN29" s="1255" t="str">
        <f>IF('A(1)-Sources Stmt.'!Q35&lt;&gt;"",'A(1)-Sources Stmt.'!Q35,"")</f>
        <v/>
      </c>
      <c r="AO29" s="1255" t="str">
        <f>IFERROR(AN29*AF29,"")</f>
        <v/>
      </c>
      <c r="AP29" s="894" t="b">
        <f>IFERROR(IF(AND(AC29="Permanent Loan",AD29="Other"),AN29-AO29),"")</f>
        <v>0</v>
      </c>
      <c r="AQ29" s="974">
        <f t="shared" ref="AQ29:AQ42" si="3">IF(AND(AF29&lt;1,AD29="Other"),1,$AT$29+1)</f>
        <v>1</v>
      </c>
      <c r="AR29" s="974">
        <f>IF(AND(AN29&lt;&gt;"",AD29="Other"),SUMPRODUCT(--(AB29&gt;$AB$29:$AB$43)*BD29),0)</f>
        <v>0</v>
      </c>
      <c r="AS29" s="974">
        <f>IF(AND(AF29&lt;1,AD29="Other"),RANK(AR29,$AR$29:$AR$43),0)</f>
        <v>0</v>
      </c>
      <c r="AT29" s="1188">
        <f>COUNTIFS(AS29:AS43,"&gt;0",AD29:AD43,"Other")</f>
        <v>0</v>
      </c>
      <c r="AU29" s="974">
        <f t="shared" ref="AU29:AU43" si="4">IF(AD29="Other",COUNTIF($AB$29:$AB$43,"&lt;"&amp;AB29)+1,0)</f>
        <v>0</v>
      </c>
      <c r="AV29" s="974"/>
      <c r="AW29" s="974" t="b">
        <f>IFERROR(IF(AND(AC29="Permanent Loan",AD29="Cash Flow"),AN29-AO29),"")</f>
        <v>0</v>
      </c>
      <c r="AX29" s="974">
        <f t="shared" ref="AX29:AX43" si="5">IF(AND(AF29&lt;1,AD29="Cash Flow",AF29&lt;1),1,$BA$29+1)</f>
        <v>1</v>
      </c>
      <c r="AY29" s="974">
        <f>IF(AND(AN29&lt;&gt;"",AD29="Cash Flow"),SUMPRODUCT(--(AB29&gt;$AB$29:$AB$43)*BD29),0)</f>
        <v>0</v>
      </c>
      <c r="AZ29" s="974">
        <f t="shared" ref="AZ29:AZ42" si="6">IF(AND(AF29&lt;1,AD29="Cash Flow"),RANK(AY29,$AY$29:$AY$43),0)</f>
        <v>0</v>
      </c>
      <c r="BA29" s="974">
        <f>COUNTIFS(AZ29:AZ43,"&gt;0",AD29:AD43,"Cash Flow")</f>
        <v>0</v>
      </c>
      <c r="BB29" s="974">
        <f>IF(AD29="Cash Flow",COUNTIF($AB$29:$AB$43,"&lt;"&amp;AB29)+1,0)</f>
        <v>0</v>
      </c>
      <c r="BC29" s="974"/>
      <c r="BD29" s="974">
        <v>0.01</v>
      </c>
      <c r="BE29" s="956"/>
      <c r="BF29" s="956"/>
    </row>
    <row r="30" spans="2:58" s="40" customFormat="1" ht="13.5" customHeight="1">
      <c r="B30" s="172"/>
      <c r="C30" s="10"/>
      <c r="D30" s="1858" t="s">
        <v>52</v>
      </c>
      <c r="E30" s="1858"/>
      <c r="F30" s="1858"/>
      <c r="G30" s="1858"/>
      <c r="H30" s="1858"/>
      <c r="I30" s="168"/>
      <c r="J30" s="588"/>
      <c r="K30" s="726"/>
      <c r="L30" s="733"/>
      <c r="M30" s="733"/>
      <c r="N30" s="733"/>
      <c r="O30" s="733"/>
      <c r="P30" s="733"/>
      <c r="Q30" s="733"/>
      <c r="R30"/>
      <c r="S30" s="798"/>
      <c r="T30" s="10"/>
      <c r="U30" s="74"/>
      <c r="V30" s="1235"/>
      <c r="W30" s="955"/>
      <c r="X30" s="955"/>
      <c r="Y30" s="974">
        <f>IF(AX30&gt;$BA$29,0,AZ30)</f>
        <v>0</v>
      </c>
      <c r="Z30" s="271">
        <f>IF(AQ30&gt;$AT$29,0,AS30)</f>
        <v>0</v>
      </c>
      <c r="AA30" s="271">
        <f t="shared" ref="AA30:AA43" si="7">IF(AH30&gt;$AK$29,0,AJ30)</f>
        <v>0</v>
      </c>
      <c r="AB30" s="94">
        <f>'A(1)-Sources Stmt.'!D36</f>
        <v>0</v>
      </c>
      <c r="AC30" s="94">
        <f>'A(1)-Sources Stmt.'!G36</f>
        <v>0</v>
      </c>
      <c r="AD30" s="94">
        <f>'A(1)-Sources Stmt.'!J36</f>
        <v>0</v>
      </c>
      <c r="AE30" s="95">
        <f>IF(AND('A(1)-Sources Stmt.'!P36&gt;0,'A(1)-Sources Stmt.'!P36&lt;&gt;""),ROUND('A(1)-Sources Stmt.'!P36,0),0)</f>
        <v>0</v>
      </c>
      <c r="AF30" s="528">
        <f>'A(1)-Sources Stmt.'!O36</f>
        <v>0</v>
      </c>
      <c r="AG30" s="95" t="b">
        <f t="shared" ref="AG30:AG43" si="8">IF(AND(AC30="Permanent Loan",AD30="Conventional"),ROUND(AE30-AL30,0))</f>
        <v>0</v>
      </c>
      <c r="AH30" s="1253">
        <f t="shared" ref="AH30:AH43" si="9">IF(AND(AG30&lt;&gt;"",AG30&gt;0,AF30&lt;1,AD30="Conventional"),1,$AK$29+1)</f>
        <v>1</v>
      </c>
      <c r="AI30" s="1253">
        <f t="shared" ref="AI30:AI43" si="10">IF(AND(AF30&lt;1,AD30="Conventional"),SUMPRODUCT(--(AC30&gt;$AB$29:$AB$43)*BD30),0)</f>
        <v>0</v>
      </c>
      <c r="AJ30" s="1253">
        <f>IF(AND(AF30&lt;1,AD30="Conventional"),RANK(AI30,$AI$29:$AI$43),0)</f>
        <v>0</v>
      </c>
      <c r="AK30" s="273"/>
      <c r="AL30" s="1255">
        <f t="shared" ref="AL30:AL43" si="11">IFERROR(ROUND(AE30*AF30,0),"")</f>
        <v>0</v>
      </c>
      <c r="AM30" s="1255"/>
      <c r="AN30" s="1255" t="str">
        <f>IF('A(1)-Sources Stmt.'!Q36&lt;&gt;"",'A(1)-Sources Stmt.'!Q36,"")</f>
        <v/>
      </c>
      <c r="AO30" s="1255" t="str">
        <f t="shared" ref="AO30:AO43" si="12">IFERROR(AN30*AF30,"")</f>
        <v/>
      </c>
      <c r="AP30" s="894" t="b">
        <f>IFERROR(IF(AND(AC30="Permanent Loan",AD30="Other"),AN30-AO30),"")</f>
        <v>0</v>
      </c>
      <c r="AQ30" s="974">
        <f t="shared" si="3"/>
        <v>1</v>
      </c>
      <c r="AR30" s="974">
        <f t="shared" ref="AR30:AR43" si="13">IF(AND(AN30&lt;&gt;"",AD30="Other"),SUMPRODUCT(--(AB30&gt;$AB$29:$AB$43)*BD30),0)</f>
        <v>0</v>
      </c>
      <c r="AS30" s="974">
        <f t="shared" ref="AS30:AS43" si="14">IF(AND(AF30&lt;1,AD30="Other"),RANK(AR30,$AR$29:$AR$43),0)</f>
        <v>0</v>
      </c>
      <c r="AT30" s="956"/>
      <c r="AU30" s="974">
        <f>IF(AD30="Other",COUNTIF($AB$29:$AB$43,"&lt;"&amp;AB30)+1,0)</f>
        <v>0</v>
      </c>
      <c r="AV30" s="974"/>
      <c r="AW30" s="974" t="b">
        <f t="shared" ref="AW30:AW43" si="15">IFERROR(IF(AND(AC30="Permanent Loan",AD30="Cash Flow"),AN30-AO30),"")</f>
        <v>0</v>
      </c>
      <c r="AX30" s="974">
        <f t="shared" si="5"/>
        <v>1</v>
      </c>
      <c r="AY30" s="974">
        <f t="shared" ref="AY30:AY43" si="16">IF(AND(AN30&lt;&gt;"",AD30="Cash Flow"),SUMPRODUCT(--(AB30&gt;$AB$29:$AB$43)*BD30),0)</f>
        <v>0</v>
      </c>
      <c r="AZ30" s="974">
        <f t="shared" si="6"/>
        <v>0</v>
      </c>
      <c r="BA30" s="956"/>
      <c r="BB30" s="974">
        <f t="shared" ref="BB30:BB43" si="17">IF(AD30="Cash Flow",COUNTIF($AB$29:$AB$43,"&lt;"&amp;AB30)+1,0)</f>
        <v>0</v>
      </c>
      <c r="BC30" s="974"/>
      <c r="BD30" s="974">
        <v>0.02</v>
      </c>
      <c r="BE30" s="956"/>
      <c r="BF30" s="956"/>
    </row>
    <row r="31" spans="2:58" s="40" customFormat="1" ht="13.5" customHeight="1">
      <c r="B31" s="172"/>
      <c r="C31" s="10"/>
      <c r="D31" s="1858" t="s">
        <v>53</v>
      </c>
      <c r="E31" s="1858"/>
      <c r="F31" s="1858"/>
      <c r="G31" s="1858"/>
      <c r="H31" s="1858"/>
      <c r="I31" s="168"/>
      <c r="J31" s="588"/>
      <c r="K31" s="726"/>
      <c r="L31" s="733"/>
      <c r="M31" s="733"/>
      <c r="N31" s="733"/>
      <c r="O31" s="733"/>
      <c r="P31" s="733"/>
      <c r="Q31" s="733"/>
      <c r="R31"/>
      <c r="S31" s="798"/>
      <c r="T31" s="10"/>
      <c r="U31" s="74"/>
      <c r="V31" s="1235"/>
      <c r="W31" s="955"/>
      <c r="X31" s="955"/>
      <c r="Y31" s="974">
        <f>IF(AX31&gt;$BA$29,0,AZ31)</f>
        <v>0</v>
      </c>
      <c r="Z31" s="271">
        <f t="shared" ref="Z31:Z43" si="18">IF(AQ31&gt;$AT$29,0,AS31)</f>
        <v>0</v>
      </c>
      <c r="AA31" s="271">
        <f t="shared" si="7"/>
        <v>0</v>
      </c>
      <c r="AB31" s="94">
        <f>'A(1)-Sources Stmt.'!D37</f>
        <v>0</v>
      </c>
      <c r="AC31" s="94">
        <f>'A(1)-Sources Stmt.'!G37</f>
        <v>0</v>
      </c>
      <c r="AD31" s="94">
        <f>'A(1)-Sources Stmt.'!J37</f>
        <v>0</v>
      </c>
      <c r="AE31" s="95">
        <f>IF(AND('A(1)-Sources Stmt.'!P37&gt;0,'A(1)-Sources Stmt.'!P37&lt;&gt;""),ROUND('A(1)-Sources Stmt.'!P37,0),0)</f>
        <v>0</v>
      </c>
      <c r="AF31" s="528">
        <f>'A(1)-Sources Stmt.'!O37</f>
        <v>0</v>
      </c>
      <c r="AG31" s="95" t="b">
        <f t="shared" si="8"/>
        <v>0</v>
      </c>
      <c r="AH31" s="1253">
        <f t="shared" si="9"/>
        <v>1</v>
      </c>
      <c r="AI31" s="1253">
        <f t="shared" si="10"/>
        <v>0</v>
      </c>
      <c r="AJ31" s="1253">
        <f t="shared" ref="AJ31:AJ43" si="19">IF(AND(AF31&lt;1,AD31="Conventional"),RANK(AI31,$AI$29:$AI$43),0)</f>
        <v>0</v>
      </c>
      <c r="AK31" s="273"/>
      <c r="AL31" s="1255">
        <f t="shared" si="11"/>
        <v>0</v>
      </c>
      <c r="AM31" s="1255"/>
      <c r="AN31" s="1255" t="str">
        <f>IF('A(1)-Sources Stmt.'!Q37&lt;&gt;"",'A(1)-Sources Stmt.'!Q37,"")</f>
        <v/>
      </c>
      <c r="AO31" s="1255" t="str">
        <f t="shared" si="12"/>
        <v/>
      </c>
      <c r="AP31" s="894" t="b">
        <f t="shared" ref="AP31:AP43" si="20">IFERROR(IF(AND(AC31="Permanent Loan",AD31="Other"),AN31-AO31),"")</f>
        <v>0</v>
      </c>
      <c r="AQ31" s="974">
        <f t="shared" si="3"/>
        <v>1</v>
      </c>
      <c r="AR31" s="974">
        <f t="shared" si="13"/>
        <v>0</v>
      </c>
      <c r="AS31" s="974">
        <f t="shared" si="14"/>
        <v>0</v>
      </c>
      <c r="AT31" s="956"/>
      <c r="AU31" s="974">
        <f t="shared" si="4"/>
        <v>0</v>
      </c>
      <c r="AV31" s="974"/>
      <c r="AW31" s="974" t="b">
        <f>IFERROR(IF(AND(AC31="Permanent Loan",AD31="Cash Flow"),AN31-AO31),"")</f>
        <v>0</v>
      </c>
      <c r="AX31" s="974">
        <f t="shared" si="5"/>
        <v>1</v>
      </c>
      <c r="AY31" s="974">
        <f t="shared" si="16"/>
        <v>0</v>
      </c>
      <c r="AZ31" s="974">
        <f t="shared" si="6"/>
        <v>0</v>
      </c>
      <c r="BA31" s="956"/>
      <c r="BB31" s="974">
        <f t="shared" si="17"/>
        <v>0</v>
      </c>
      <c r="BC31" s="974"/>
      <c r="BD31" s="974">
        <v>0.03</v>
      </c>
      <c r="BE31" s="956"/>
      <c r="BF31" s="956"/>
    </row>
    <row r="32" spans="2:58" s="40" customFormat="1" ht="13.5" customHeight="1">
      <c r="B32" s="172"/>
      <c r="C32" s="10"/>
      <c r="D32" s="1858" t="s">
        <v>54</v>
      </c>
      <c r="E32" s="1858"/>
      <c r="F32" s="1858"/>
      <c r="G32" s="1858"/>
      <c r="H32" s="1858"/>
      <c r="I32" s="168"/>
      <c r="J32" s="588"/>
      <c r="K32" s="726"/>
      <c r="L32" s="733"/>
      <c r="M32" s="733"/>
      <c r="N32" s="733"/>
      <c r="O32" s="733"/>
      <c r="P32" s="733"/>
      <c r="Q32" s="733"/>
      <c r="R32"/>
      <c r="S32" s="798"/>
      <c r="T32" s="10"/>
      <c r="U32" s="74"/>
      <c r="V32" s="1235"/>
      <c r="W32" s="955"/>
      <c r="X32" s="377"/>
      <c r="Y32" s="974">
        <f t="shared" ref="Y32:Y43" si="21">IF(AX32&gt;$BA$29,0,AZ32)</f>
        <v>0</v>
      </c>
      <c r="Z32" s="271">
        <f>IF(AQ32&gt;$AT$29,0,AS32)</f>
        <v>0</v>
      </c>
      <c r="AA32" s="271">
        <f t="shared" si="7"/>
        <v>0</v>
      </c>
      <c r="AB32" s="94">
        <f>'A(1)-Sources Stmt.'!D38</f>
        <v>0</v>
      </c>
      <c r="AC32" s="94">
        <f>'A(1)-Sources Stmt.'!G38</f>
        <v>0</v>
      </c>
      <c r="AD32" s="94">
        <f>'A(1)-Sources Stmt.'!J38</f>
        <v>0</v>
      </c>
      <c r="AE32" s="95">
        <f>IF(AND('A(1)-Sources Stmt.'!P38&gt;0,'A(1)-Sources Stmt.'!P38&lt;&gt;""),ROUND('A(1)-Sources Stmt.'!P38,0),0)</f>
        <v>0</v>
      </c>
      <c r="AF32" s="528">
        <f>'A(1)-Sources Stmt.'!O38</f>
        <v>0</v>
      </c>
      <c r="AG32" s="95" t="b">
        <f t="shared" si="8"/>
        <v>0</v>
      </c>
      <c r="AH32" s="1253">
        <f t="shared" si="9"/>
        <v>1</v>
      </c>
      <c r="AI32" s="1253">
        <f t="shared" si="10"/>
        <v>0</v>
      </c>
      <c r="AJ32" s="1253">
        <f t="shared" si="19"/>
        <v>0</v>
      </c>
      <c r="AK32" s="273"/>
      <c r="AL32" s="1255">
        <f t="shared" si="11"/>
        <v>0</v>
      </c>
      <c r="AM32" s="1255"/>
      <c r="AN32" s="1255" t="str">
        <f>IF('A(1)-Sources Stmt.'!Q38&lt;&gt;"",'A(1)-Sources Stmt.'!Q38,"")</f>
        <v/>
      </c>
      <c r="AO32" s="1255" t="str">
        <f t="shared" si="12"/>
        <v/>
      </c>
      <c r="AP32" s="894" t="b">
        <f t="shared" si="20"/>
        <v>0</v>
      </c>
      <c r="AQ32" s="974">
        <f t="shared" si="3"/>
        <v>1</v>
      </c>
      <c r="AR32" s="974">
        <f t="shared" si="13"/>
        <v>0</v>
      </c>
      <c r="AS32" s="974">
        <f t="shared" si="14"/>
        <v>0</v>
      </c>
      <c r="AT32" s="956"/>
      <c r="AU32" s="974">
        <f t="shared" si="4"/>
        <v>0</v>
      </c>
      <c r="AV32" s="974"/>
      <c r="AW32" s="974" t="b">
        <f t="shared" si="15"/>
        <v>0</v>
      </c>
      <c r="AX32" s="974">
        <f>IF(AND(AF32&lt;1,AD32="Cash Flow",AF32&lt;1),1,$BA$29+1)</f>
        <v>1</v>
      </c>
      <c r="AY32" s="974">
        <f t="shared" si="16"/>
        <v>0</v>
      </c>
      <c r="AZ32" s="974">
        <f t="shared" si="6"/>
        <v>0</v>
      </c>
      <c r="BA32" s="956"/>
      <c r="BB32" s="974">
        <f t="shared" si="17"/>
        <v>0</v>
      </c>
      <c r="BC32" s="974"/>
      <c r="BD32" s="974">
        <v>0.04</v>
      </c>
      <c r="BE32" s="956"/>
      <c r="BF32" s="956"/>
    </row>
    <row r="33" spans="1:58" s="40" customFormat="1" ht="13.5" customHeight="1">
      <c r="B33" s="172"/>
      <c r="C33" s="10"/>
      <c r="D33" s="1858" t="s">
        <v>37</v>
      </c>
      <c r="E33" s="1858"/>
      <c r="F33" s="1858"/>
      <c r="G33" s="1858"/>
      <c r="H33" s="1858"/>
      <c r="I33" s="168"/>
      <c r="J33" s="588"/>
      <c r="K33" s="726"/>
      <c r="L33" s="733"/>
      <c r="M33" s="733"/>
      <c r="N33" s="733"/>
      <c r="O33" s="733"/>
      <c r="P33" s="733"/>
      <c r="Q33" s="733"/>
      <c r="R33"/>
      <c r="S33" s="798"/>
      <c r="T33" s="10"/>
      <c r="U33" s="74"/>
      <c r="V33" s="1235"/>
      <c r="W33" s="955"/>
      <c r="X33" s="377"/>
      <c r="Y33" s="974">
        <f t="shared" si="21"/>
        <v>0</v>
      </c>
      <c r="Z33" s="271">
        <f t="shared" si="18"/>
        <v>0</v>
      </c>
      <c r="AA33" s="271">
        <f>IF(AH33&gt;$AK$29,0,AJ33)</f>
        <v>0</v>
      </c>
      <c r="AB33" s="94">
        <f>'A(1)-Sources Stmt.'!D39</f>
        <v>0</v>
      </c>
      <c r="AC33" s="94">
        <f>'A(1)-Sources Stmt.'!G39</f>
        <v>0</v>
      </c>
      <c r="AD33" s="94">
        <f>'A(1)-Sources Stmt.'!J39</f>
        <v>0</v>
      </c>
      <c r="AE33" s="95">
        <f>IF(AND('A(1)-Sources Stmt.'!P39&gt;0,'A(1)-Sources Stmt.'!P39&lt;&gt;""),ROUND('A(1)-Sources Stmt.'!P39,0),0)</f>
        <v>0</v>
      </c>
      <c r="AF33" s="528">
        <f>'A(1)-Sources Stmt.'!O39</f>
        <v>0</v>
      </c>
      <c r="AG33" s="95" t="b">
        <f t="shared" si="8"/>
        <v>0</v>
      </c>
      <c r="AH33" s="1253">
        <f>IF(AND(AG33&lt;&gt;"",AG33&gt;0,AF33&lt;1,AD33="Conventional"),1,$AK$29+1)</f>
        <v>1</v>
      </c>
      <c r="AI33" s="1253">
        <f t="shared" si="10"/>
        <v>0</v>
      </c>
      <c r="AJ33" s="1253">
        <f t="shared" si="19"/>
        <v>0</v>
      </c>
      <c r="AK33" s="273"/>
      <c r="AL33" s="1255">
        <f t="shared" si="11"/>
        <v>0</v>
      </c>
      <c r="AM33" s="1255"/>
      <c r="AN33" s="1255" t="str">
        <f>IF('A(1)-Sources Stmt.'!Q39&lt;&gt;"",'A(1)-Sources Stmt.'!Q39,"")</f>
        <v/>
      </c>
      <c r="AO33" s="1255" t="str">
        <f t="shared" si="12"/>
        <v/>
      </c>
      <c r="AP33" s="894" t="b">
        <f t="shared" si="20"/>
        <v>0</v>
      </c>
      <c r="AQ33" s="974">
        <f t="shared" si="3"/>
        <v>1</v>
      </c>
      <c r="AR33" s="974">
        <f t="shared" si="13"/>
        <v>0</v>
      </c>
      <c r="AS33" s="974">
        <f t="shared" si="14"/>
        <v>0</v>
      </c>
      <c r="AT33" s="956"/>
      <c r="AU33" s="974">
        <f t="shared" si="4"/>
        <v>0</v>
      </c>
      <c r="AV33" s="974"/>
      <c r="AW33" s="974" t="b">
        <f t="shared" si="15"/>
        <v>0</v>
      </c>
      <c r="AX33" s="974">
        <f t="shared" si="5"/>
        <v>1</v>
      </c>
      <c r="AY33" s="974">
        <f t="shared" si="16"/>
        <v>0</v>
      </c>
      <c r="AZ33" s="974">
        <f t="shared" si="6"/>
        <v>0</v>
      </c>
      <c r="BA33" s="956"/>
      <c r="BB33" s="974">
        <f t="shared" si="17"/>
        <v>0</v>
      </c>
      <c r="BC33" s="974"/>
      <c r="BD33" s="974">
        <v>0.05</v>
      </c>
      <c r="BE33" s="956"/>
      <c r="BF33" s="956"/>
    </row>
    <row r="34" spans="1:58" s="40" customFormat="1" ht="13.5" customHeight="1" thickBot="1">
      <c r="B34" s="172"/>
      <c r="C34" s="10"/>
      <c r="D34" s="1858" t="s">
        <v>55</v>
      </c>
      <c r="E34" s="1858"/>
      <c r="F34" s="1858"/>
      <c r="G34" s="1858"/>
      <c r="H34" s="1858"/>
      <c r="I34" s="168"/>
      <c r="J34" s="588"/>
      <c r="K34" s="729"/>
      <c r="L34" s="733"/>
      <c r="M34" s="733"/>
      <c r="N34" s="733"/>
      <c r="O34" s="733"/>
      <c r="P34" s="733"/>
      <c r="Q34" s="733"/>
      <c r="R34"/>
      <c r="S34" s="798"/>
      <c r="T34" s="10"/>
      <c r="U34" s="74"/>
      <c r="V34" s="1235"/>
      <c r="W34" s="955"/>
      <c r="X34" s="377"/>
      <c r="Y34" s="974">
        <f t="shared" si="21"/>
        <v>0</v>
      </c>
      <c r="Z34" s="271">
        <f t="shared" si="18"/>
        <v>0</v>
      </c>
      <c r="AA34" s="271">
        <f t="shared" si="7"/>
        <v>0</v>
      </c>
      <c r="AB34" s="94">
        <f>'A(1)-Sources Stmt.'!D40</f>
        <v>0</v>
      </c>
      <c r="AC34" s="94">
        <f>'A(1)-Sources Stmt.'!G40</f>
        <v>0</v>
      </c>
      <c r="AD34" s="94">
        <f>'A(1)-Sources Stmt.'!J40</f>
        <v>0</v>
      </c>
      <c r="AE34" s="95">
        <f>IF(AND('A(1)-Sources Stmt.'!P40&gt;0,'A(1)-Sources Stmt.'!P40&lt;&gt;""),ROUND('A(1)-Sources Stmt.'!P40,0),0)</f>
        <v>0</v>
      </c>
      <c r="AF34" s="528">
        <f>'A(1)-Sources Stmt.'!O40</f>
        <v>0</v>
      </c>
      <c r="AG34" s="95" t="b">
        <f t="shared" si="8"/>
        <v>0</v>
      </c>
      <c r="AH34" s="1253">
        <f t="shared" si="9"/>
        <v>1</v>
      </c>
      <c r="AI34" s="1253">
        <f t="shared" si="10"/>
        <v>0</v>
      </c>
      <c r="AJ34" s="1253">
        <f t="shared" si="19"/>
        <v>0</v>
      </c>
      <c r="AK34" s="273"/>
      <c r="AL34" s="1255">
        <f t="shared" si="11"/>
        <v>0</v>
      </c>
      <c r="AM34" s="1255"/>
      <c r="AN34" s="1255" t="str">
        <f>IF('A(1)-Sources Stmt.'!Q40&lt;&gt;"",'A(1)-Sources Stmt.'!Q40,"")</f>
        <v/>
      </c>
      <c r="AO34" s="1255" t="str">
        <f t="shared" si="12"/>
        <v/>
      </c>
      <c r="AP34" s="894" t="b">
        <f t="shared" si="20"/>
        <v>0</v>
      </c>
      <c r="AQ34" s="974">
        <f t="shared" si="3"/>
        <v>1</v>
      </c>
      <c r="AR34" s="974">
        <f t="shared" si="13"/>
        <v>0</v>
      </c>
      <c r="AS34" s="974">
        <f t="shared" si="14"/>
        <v>0</v>
      </c>
      <c r="AT34" s="956"/>
      <c r="AU34" s="974">
        <f t="shared" si="4"/>
        <v>0</v>
      </c>
      <c r="AV34" s="974"/>
      <c r="AW34" s="974" t="b">
        <f t="shared" si="15"/>
        <v>0</v>
      </c>
      <c r="AX34" s="974">
        <f t="shared" si="5"/>
        <v>1</v>
      </c>
      <c r="AY34" s="974">
        <f t="shared" si="16"/>
        <v>0</v>
      </c>
      <c r="AZ34" s="974">
        <f t="shared" si="6"/>
        <v>0</v>
      </c>
      <c r="BA34" s="956"/>
      <c r="BB34" s="974">
        <f t="shared" si="17"/>
        <v>0</v>
      </c>
      <c r="BC34" s="974"/>
      <c r="BD34" s="974">
        <v>0.06</v>
      </c>
      <c r="BE34" s="956"/>
      <c r="BF34" s="956"/>
    </row>
    <row r="35" spans="1:58" ht="13.5" customHeight="1" thickTop="1" thickBot="1">
      <c r="A35" s="40"/>
      <c r="B35" s="172"/>
      <c r="C35" s="10"/>
      <c r="D35" s="1863" t="s">
        <v>47</v>
      </c>
      <c r="E35" s="1863"/>
      <c r="F35" s="1863"/>
      <c r="G35" s="1863"/>
      <c r="H35" s="1863"/>
      <c r="I35" s="589"/>
      <c r="J35" s="67"/>
      <c r="K35" s="1049">
        <f>ROUND(SUM(K29:K34),0)</f>
        <v>0</v>
      </c>
      <c r="L35" s="1050">
        <f t="shared" ref="L35:Q35" si="22">ROUND(SUM(L29:L34),0)</f>
        <v>0</v>
      </c>
      <c r="M35" s="1050">
        <f t="shared" si="22"/>
        <v>0</v>
      </c>
      <c r="N35" s="1050">
        <f t="shared" si="22"/>
        <v>0</v>
      </c>
      <c r="O35" s="1050">
        <f t="shared" si="22"/>
        <v>0</v>
      </c>
      <c r="P35" s="1050">
        <f t="shared" si="22"/>
        <v>0</v>
      </c>
      <c r="Q35" s="1051">
        <f t="shared" si="22"/>
        <v>0</v>
      </c>
      <c r="T35" s="10"/>
      <c r="U35" s="74"/>
      <c r="V35" s="1235"/>
      <c r="W35" s="955"/>
      <c r="X35" s="377"/>
      <c r="Y35" s="974">
        <f t="shared" si="21"/>
        <v>0</v>
      </c>
      <c r="Z35" s="271">
        <f t="shared" si="18"/>
        <v>0</v>
      </c>
      <c r="AA35" s="271">
        <f t="shared" si="7"/>
        <v>0</v>
      </c>
      <c r="AB35" s="94">
        <f>'A(1)-Sources Stmt.'!D41</f>
        <v>0</v>
      </c>
      <c r="AC35" s="94">
        <f>'A(1)-Sources Stmt.'!G41</f>
        <v>0</v>
      </c>
      <c r="AD35" s="94">
        <f>'A(1)-Sources Stmt.'!J41</f>
        <v>0</v>
      </c>
      <c r="AE35" s="95">
        <f>IF(AND('A(1)-Sources Stmt.'!P41&gt;0,'A(1)-Sources Stmt.'!P41&lt;&gt;""),ROUND('A(1)-Sources Stmt.'!P41,0),0)</f>
        <v>0</v>
      </c>
      <c r="AF35" s="528">
        <f>'A(1)-Sources Stmt.'!O41</f>
        <v>0</v>
      </c>
      <c r="AG35" s="95" t="b">
        <f t="shared" si="8"/>
        <v>0</v>
      </c>
      <c r="AH35" s="1253">
        <f t="shared" si="9"/>
        <v>1</v>
      </c>
      <c r="AI35" s="1253">
        <f t="shared" si="10"/>
        <v>0</v>
      </c>
      <c r="AJ35" s="1253">
        <f t="shared" si="19"/>
        <v>0</v>
      </c>
      <c r="AK35" s="273"/>
      <c r="AL35" s="1255">
        <f t="shared" si="11"/>
        <v>0</v>
      </c>
      <c r="AM35" s="1255"/>
      <c r="AN35" s="1255" t="str">
        <f>IF('A(1)-Sources Stmt.'!Q41&lt;&gt;"",'A(1)-Sources Stmt.'!Q41,"")</f>
        <v/>
      </c>
      <c r="AO35" s="1255" t="str">
        <f t="shared" si="12"/>
        <v/>
      </c>
      <c r="AP35" s="894" t="b">
        <f t="shared" si="20"/>
        <v>0</v>
      </c>
      <c r="AQ35" s="974">
        <f t="shared" si="3"/>
        <v>1</v>
      </c>
      <c r="AR35" s="974">
        <f t="shared" si="13"/>
        <v>0</v>
      </c>
      <c r="AS35" s="974">
        <f t="shared" si="14"/>
        <v>0</v>
      </c>
      <c r="AU35" s="974">
        <f t="shared" si="4"/>
        <v>0</v>
      </c>
      <c r="AV35" s="974"/>
      <c r="AW35" s="974" t="b">
        <f t="shared" si="15"/>
        <v>0</v>
      </c>
      <c r="AX35" s="974">
        <f t="shared" si="5"/>
        <v>1</v>
      </c>
      <c r="AY35" s="974">
        <f t="shared" si="16"/>
        <v>0</v>
      </c>
      <c r="AZ35" s="974">
        <f t="shared" si="6"/>
        <v>0</v>
      </c>
      <c r="BB35" s="974">
        <f t="shared" si="17"/>
        <v>0</v>
      </c>
      <c r="BC35" s="974"/>
      <c r="BD35" s="974">
        <v>7.0000000000000007E-2</v>
      </c>
    </row>
    <row r="36" spans="1:58" ht="13.5" customHeight="1" thickTop="1">
      <c r="A36" s="40"/>
      <c r="B36" s="40"/>
      <c r="C36" s="40"/>
      <c r="D36" s="1858" t="s">
        <v>3</v>
      </c>
      <c r="E36" s="1858"/>
      <c r="F36" s="1858"/>
      <c r="G36" s="1858"/>
      <c r="H36" s="1858"/>
      <c r="I36" s="42"/>
      <c r="J36" s="588"/>
      <c r="K36" s="736"/>
      <c r="L36" s="736"/>
      <c r="M36" s="736"/>
      <c r="N36" s="736"/>
      <c r="O36" s="736"/>
      <c r="P36" s="736"/>
      <c r="Q36" s="736"/>
      <c r="T36" s="10"/>
      <c r="U36" s="956"/>
      <c r="V36" s="956"/>
      <c r="Y36" s="974">
        <f t="shared" si="21"/>
        <v>0</v>
      </c>
      <c r="Z36" s="271">
        <f t="shared" si="18"/>
        <v>0</v>
      </c>
      <c r="AA36" s="271">
        <f t="shared" si="7"/>
        <v>0</v>
      </c>
      <c r="AB36" s="94">
        <f>'A(1)-Sources Stmt.'!D42</f>
        <v>0</v>
      </c>
      <c r="AC36" s="94">
        <f>'A(1)-Sources Stmt.'!G42</f>
        <v>0</v>
      </c>
      <c r="AD36" s="94">
        <f>'A(1)-Sources Stmt.'!J42</f>
        <v>0</v>
      </c>
      <c r="AE36" s="95">
        <f>IF(AND('A(1)-Sources Stmt.'!P42&gt;0,'A(1)-Sources Stmt.'!P42&lt;&gt;""),ROUND('A(1)-Sources Stmt.'!P42,0),0)</f>
        <v>0</v>
      </c>
      <c r="AF36" s="528">
        <f>'A(1)-Sources Stmt.'!O42</f>
        <v>0</v>
      </c>
      <c r="AG36" s="95" t="b">
        <f t="shared" si="8"/>
        <v>0</v>
      </c>
      <c r="AH36" s="1253">
        <f t="shared" si="9"/>
        <v>1</v>
      </c>
      <c r="AI36" s="1253">
        <f t="shared" si="10"/>
        <v>0</v>
      </c>
      <c r="AJ36" s="1253">
        <f t="shared" si="19"/>
        <v>0</v>
      </c>
      <c r="AK36" s="273"/>
      <c r="AL36" s="1255">
        <f t="shared" si="11"/>
        <v>0</v>
      </c>
      <c r="AM36" s="1255"/>
      <c r="AN36" s="1255" t="str">
        <f>IF('A(1)-Sources Stmt.'!Q42&lt;&gt;"",'A(1)-Sources Stmt.'!Q42,"")</f>
        <v/>
      </c>
      <c r="AO36" s="1255" t="str">
        <f t="shared" si="12"/>
        <v/>
      </c>
      <c r="AP36" s="894" t="b">
        <f t="shared" si="20"/>
        <v>0</v>
      </c>
      <c r="AQ36" s="974">
        <f t="shared" si="3"/>
        <v>1</v>
      </c>
      <c r="AR36" s="974">
        <f t="shared" si="13"/>
        <v>0</v>
      </c>
      <c r="AS36" s="974">
        <f t="shared" si="14"/>
        <v>0</v>
      </c>
      <c r="AU36" s="974">
        <f t="shared" si="4"/>
        <v>0</v>
      </c>
      <c r="AV36" s="974"/>
      <c r="AW36" s="974" t="b">
        <f t="shared" si="15"/>
        <v>0</v>
      </c>
      <c r="AX36" s="974">
        <f t="shared" si="5"/>
        <v>1</v>
      </c>
      <c r="AY36" s="974">
        <f t="shared" si="16"/>
        <v>0</v>
      </c>
      <c r="AZ36" s="974">
        <f t="shared" si="6"/>
        <v>0</v>
      </c>
      <c r="BB36" s="974">
        <f t="shared" si="17"/>
        <v>0</v>
      </c>
      <c r="BC36" s="974"/>
      <c r="BD36" s="974">
        <v>0.08</v>
      </c>
    </row>
    <row r="37" spans="1:58" ht="13.5" customHeight="1">
      <c r="A37" s="40"/>
      <c r="B37" s="172"/>
      <c r="C37" s="10"/>
      <c r="D37" s="1858" t="s">
        <v>4</v>
      </c>
      <c r="E37" s="1858"/>
      <c r="F37" s="1858"/>
      <c r="G37" s="1858"/>
      <c r="H37" s="1858"/>
      <c r="I37" s="42"/>
      <c r="J37" s="588"/>
      <c r="K37" s="738"/>
      <c r="L37" s="727"/>
      <c r="M37" s="727"/>
      <c r="N37" s="727"/>
      <c r="O37" s="727"/>
      <c r="P37" s="727"/>
      <c r="Q37" s="739"/>
      <c r="T37" s="10"/>
      <c r="V37" s="1235"/>
      <c r="W37" s="955"/>
      <c r="X37" s="377"/>
      <c r="Y37" s="974">
        <f t="shared" si="21"/>
        <v>0</v>
      </c>
      <c r="Z37" s="271">
        <f t="shared" si="18"/>
        <v>0</v>
      </c>
      <c r="AA37" s="271">
        <f t="shared" si="7"/>
        <v>0</v>
      </c>
      <c r="AB37" s="94">
        <f>'A(1)-Sources Stmt.'!D43</f>
        <v>0</v>
      </c>
      <c r="AC37" s="94">
        <f>'A(1)-Sources Stmt.'!G43</f>
        <v>0</v>
      </c>
      <c r="AD37" s="94">
        <f>'A(1)-Sources Stmt.'!J43</f>
        <v>0</v>
      </c>
      <c r="AE37" s="95">
        <f>IF(AND('A(1)-Sources Stmt.'!P43&gt;0,'A(1)-Sources Stmt.'!P43&lt;&gt;""),ROUND('A(1)-Sources Stmt.'!P43,0),0)</f>
        <v>0</v>
      </c>
      <c r="AF37" s="528">
        <f>'A(1)-Sources Stmt.'!O43</f>
        <v>0</v>
      </c>
      <c r="AG37" s="95" t="b">
        <f t="shared" si="8"/>
        <v>0</v>
      </c>
      <c r="AH37" s="1253">
        <f t="shared" si="9"/>
        <v>1</v>
      </c>
      <c r="AI37" s="1253">
        <f t="shared" si="10"/>
        <v>0</v>
      </c>
      <c r="AJ37" s="1253">
        <f t="shared" si="19"/>
        <v>0</v>
      </c>
      <c r="AK37" s="273"/>
      <c r="AL37" s="1255">
        <f t="shared" si="11"/>
        <v>0</v>
      </c>
      <c r="AM37" s="1255"/>
      <c r="AN37" s="1255" t="str">
        <f>IF('A(1)-Sources Stmt.'!Q43&lt;&gt;"",'A(1)-Sources Stmt.'!Q43,"")</f>
        <v/>
      </c>
      <c r="AO37" s="1255" t="str">
        <f t="shared" si="12"/>
        <v/>
      </c>
      <c r="AP37" s="894" t="b">
        <f t="shared" si="20"/>
        <v>0</v>
      </c>
      <c r="AQ37" s="974">
        <f t="shared" si="3"/>
        <v>1</v>
      </c>
      <c r="AR37" s="974">
        <f t="shared" si="13"/>
        <v>0</v>
      </c>
      <c r="AS37" s="974">
        <f t="shared" si="14"/>
        <v>0</v>
      </c>
      <c r="AU37" s="974">
        <f t="shared" si="4"/>
        <v>0</v>
      </c>
      <c r="AV37" s="974"/>
      <c r="AW37" s="974" t="b">
        <f t="shared" si="15"/>
        <v>0</v>
      </c>
      <c r="AX37" s="974">
        <f t="shared" si="5"/>
        <v>1</v>
      </c>
      <c r="AY37" s="974">
        <f t="shared" si="16"/>
        <v>0</v>
      </c>
      <c r="AZ37" s="974">
        <f t="shared" si="6"/>
        <v>0</v>
      </c>
      <c r="BB37" s="974">
        <f t="shared" si="17"/>
        <v>0</v>
      </c>
      <c r="BC37" s="974"/>
      <c r="BD37" s="974">
        <v>0.09</v>
      </c>
    </row>
    <row r="38" spans="1:58" ht="13.5" customHeight="1">
      <c r="A38" s="40"/>
      <c r="B38" s="172"/>
      <c r="C38" s="10"/>
      <c r="D38" s="1858" t="s">
        <v>6</v>
      </c>
      <c r="E38" s="1858"/>
      <c r="F38" s="1858"/>
      <c r="G38" s="1858"/>
      <c r="H38" s="1858"/>
      <c r="I38" s="42"/>
      <c r="J38" s="588"/>
      <c r="K38" s="738"/>
      <c r="L38" s="733"/>
      <c r="M38" s="733"/>
      <c r="N38" s="733"/>
      <c r="O38" s="733"/>
      <c r="P38" s="727"/>
      <c r="Q38" s="739"/>
      <c r="T38" s="10"/>
      <c r="U38" s="74"/>
      <c r="V38" s="1235"/>
      <c r="W38" s="955"/>
      <c r="X38" s="377"/>
      <c r="Y38" s="974">
        <f t="shared" si="21"/>
        <v>0</v>
      </c>
      <c r="Z38" s="271">
        <f t="shared" si="18"/>
        <v>0</v>
      </c>
      <c r="AA38" s="271">
        <f t="shared" si="7"/>
        <v>0</v>
      </c>
      <c r="AB38" s="94">
        <f>'A(1)-Sources Stmt.'!D44</f>
        <v>0</v>
      </c>
      <c r="AC38" s="94">
        <f>'A(1)-Sources Stmt.'!G44</f>
        <v>0</v>
      </c>
      <c r="AD38" s="94">
        <f>'A(1)-Sources Stmt.'!J44</f>
        <v>0</v>
      </c>
      <c r="AE38" s="95">
        <f>IF(AND('A(1)-Sources Stmt.'!P44&gt;0,'A(1)-Sources Stmt.'!P44&lt;&gt;""),ROUND('A(1)-Sources Stmt.'!P44,0),0)</f>
        <v>0</v>
      </c>
      <c r="AF38" s="528">
        <f>'A(1)-Sources Stmt.'!O44</f>
        <v>0</v>
      </c>
      <c r="AG38" s="95" t="b">
        <f t="shared" si="8"/>
        <v>0</v>
      </c>
      <c r="AH38" s="1253">
        <f t="shared" si="9"/>
        <v>1</v>
      </c>
      <c r="AI38" s="1253">
        <f t="shared" si="10"/>
        <v>0</v>
      </c>
      <c r="AJ38" s="1253">
        <f t="shared" si="19"/>
        <v>0</v>
      </c>
      <c r="AK38" s="273"/>
      <c r="AL38" s="1255">
        <f t="shared" si="11"/>
        <v>0</v>
      </c>
      <c r="AM38" s="1255"/>
      <c r="AN38" s="1255" t="str">
        <f>IF('A(1)-Sources Stmt.'!Q44&lt;&gt;"",'A(1)-Sources Stmt.'!Q44,"")</f>
        <v/>
      </c>
      <c r="AO38" s="1255" t="str">
        <f t="shared" si="12"/>
        <v/>
      </c>
      <c r="AP38" s="894" t="b">
        <f t="shared" si="20"/>
        <v>0</v>
      </c>
      <c r="AQ38" s="974">
        <f t="shared" si="3"/>
        <v>1</v>
      </c>
      <c r="AR38" s="974">
        <f t="shared" si="13"/>
        <v>0</v>
      </c>
      <c r="AS38" s="974">
        <f t="shared" si="14"/>
        <v>0</v>
      </c>
      <c r="AU38" s="974">
        <f t="shared" si="4"/>
        <v>0</v>
      </c>
      <c r="AV38" s="974"/>
      <c r="AW38" s="974" t="b">
        <f t="shared" si="15"/>
        <v>0</v>
      </c>
      <c r="AX38" s="974">
        <f t="shared" si="5"/>
        <v>1</v>
      </c>
      <c r="AY38" s="974">
        <f t="shared" si="16"/>
        <v>0</v>
      </c>
      <c r="AZ38" s="974">
        <f t="shared" si="6"/>
        <v>0</v>
      </c>
      <c r="BB38" s="974">
        <f t="shared" si="17"/>
        <v>0</v>
      </c>
      <c r="BC38" s="974"/>
      <c r="BD38" s="974">
        <v>0.1</v>
      </c>
    </row>
    <row r="39" spans="1:58" ht="13.5" customHeight="1">
      <c r="A39" s="40"/>
      <c r="B39" s="1982" t="s">
        <v>814</v>
      </c>
      <c r="C39" s="1982"/>
      <c r="D39" s="1974"/>
      <c r="E39" s="1975"/>
      <c r="F39" s="1975"/>
      <c r="G39" s="1975"/>
      <c r="H39" s="1975"/>
      <c r="I39" s="624"/>
      <c r="J39" s="40"/>
      <c r="K39" s="740"/>
      <c r="L39" s="584"/>
      <c r="M39" s="584"/>
      <c r="N39" s="584"/>
      <c r="O39" s="584"/>
      <c r="P39" s="584"/>
      <c r="Q39" s="741"/>
      <c r="T39" s="10"/>
      <c r="U39" s="956">
        <f>IF(D39="",1,0)</f>
        <v>1</v>
      </c>
      <c r="V39" s="1235"/>
      <c r="W39" s="955"/>
      <c r="X39" s="377"/>
      <c r="Y39" s="974">
        <f t="shared" si="21"/>
        <v>0</v>
      </c>
      <c r="Z39" s="271">
        <f t="shared" si="18"/>
        <v>0</v>
      </c>
      <c r="AA39" s="271">
        <f t="shared" si="7"/>
        <v>0</v>
      </c>
      <c r="AB39" s="94">
        <f>'A(1)-Sources Stmt.'!D45</f>
        <v>0</v>
      </c>
      <c r="AC39" s="94">
        <f>'A(1)-Sources Stmt.'!G45</f>
        <v>0</v>
      </c>
      <c r="AD39" s="94">
        <f>'A(1)-Sources Stmt.'!J45</f>
        <v>0</v>
      </c>
      <c r="AE39" s="95">
        <f>IF(AND('A(1)-Sources Stmt.'!P45&gt;0,'A(1)-Sources Stmt.'!P45&lt;&gt;""),ROUND('A(1)-Sources Stmt.'!P45,0),0)</f>
        <v>0</v>
      </c>
      <c r="AF39" s="528">
        <f>'A(1)-Sources Stmt.'!O45</f>
        <v>0</v>
      </c>
      <c r="AG39" s="95" t="b">
        <f t="shared" si="8"/>
        <v>0</v>
      </c>
      <c r="AH39" s="1253">
        <f t="shared" si="9"/>
        <v>1</v>
      </c>
      <c r="AI39" s="1253">
        <f t="shared" si="10"/>
        <v>0</v>
      </c>
      <c r="AJ39" s="1253">
        <f t="shared" si="19"/>
        <v>0</v>
      </c>
      <c r="AK39" s="273"/>
      <c r="AL39" s="1255">
        <f t="shared" si="11"/>
        <v>0</v>
      </c>
      <c r="AM39" s="1255"/>
      <c r="AN39" s="1255" t="str">
        <f>IF('A(1)-Sources Stmt.'!Q45&lt;&gt;"",'A(1)-Sources Stmt.'!Q45,"")</f>
        <v/>
      </c>
      <c r="AO39" s="1255" t="str">
        <f t="shared" si="12"/>
        <v/>
      </c>
      <c r="AP39" s="894" t="b">
        <f t="shared" si="20"/>
        <v>0</v>
      </c>
      <c r="AQ39" s="974">
        <f t="shared" si="3"/>
        <v>1</v>
      </c>
      <c r="AR39" s="974">
        <f t="shared" si="13"/>
        <v>0</v>
      </c>
      <c r="AS39" s="974">
        <f t="shared" si="14"/>
        <v>0</v>
      </c>
      <c r="AU39" s="974">
        <f t="shared" si="4"/>
        <v>0</v>
      </c>
      <c r="AV39" s="974"/>
      <c r="AW39" s="974" t="b">
        <f t="shared" si="15"/>
        <v>0</v>
      </c>
      <c r="AX39" s="974">
        <f t="shared" si="5"/>
        <v>1</v>
      </c>
      <c r="AY39" s="974">
        <f t="shared" si="16"/>
        <v>0</v>
      </c>
      <c r="AZ39" s="974">
        <f t="shared" si="6"/>
        <v>0</v>
      </c>
      <c r="BB39" s="974">
        <f t="shared" si="17"/>
        <v>0</v>
      </c>
      <c r="BC39" s="974"/>
      <c r="BD39" s="974">
        <v>0.11</v>
      </c>
    </row>
    <row r="40" spans="1:58" ht="13.5" customHeight="1">
      <c r="A40" s="40"/>
      <c r="B40" s="1215"/>
      <c r="C40" s="1216"/>
      <c r="D40" s="1972"/>
      <c r="E40" s="1973"/>
      <c r="F40" s="1973"/>
      <c r="G40" s="1973"/>
      <c r="H40" s="1973"/>
      <c r="I40" s="624"/>
      <c r="J40" s="588"/>
      <c r="K40" s="738"/>
      <c r="L40" s="727"/>
      <c r="M40" s="727"/>
      <c r="N40" s="727"/>
      <c r="O40" s="727"/>
      <c r="P40" s="727"/>
      <c r="Q40" s="739"/>
      <c r="T40" s="10"/>
      <c r="U40" s="956">
        <f>IF(D40="",1,0)</f>
        <v>1</v>
      </c>
      <c r="V40" s="378">
        <f>SUM(K40:Q40)</f>
        <v>0</v>
      </c>
      <c r="W40" s="955"/>
      <c r="X40" s="377"/>
      <c r="Y40" s="974">
        <f t="shared" si="21"/>
        <v>0</v>
      </c>
      <c r="Z40" s="271">
        <f t="shared" si="18"/>
        <v>0</v>
      </c>
      <c r="AA40" s="271">
        <f t="shared" si="7"/>
        <v>0</v>
      </c>
      <c r="AB40" s="94">
        <f>'A(1)-Sources Stmt.'!D46</f>
        <v>0</v>
      </c>
      <c r="AC40" s="94">
        <f>'A(1)-Sources Stmt.'!G46</f>
        <v>0</v>
      </c>
      <c r="AD40" s="94">
        <f>'A(1)-Sources Stmt.'!J46</f>
        <v>0</v>
      </c>
      <c r="AE40" s="95">
        <f>IF(AND('A(1)-Sources Stmt.'!P46&gt;0,'A(1)-Sources Stmt.'!P46&lt;&gt;""),ROUND('A(1)-Sources Stmt.'!P46,0),0)</f>
        <v>0</v>
      </c>
      <c r="AF40" s="528">
        <f>'A(1)-Sources Stmt.'!O46</f>
        <v>0</v>
      </c>
      <c r="AG40" s="95" t="b">
        <f t="shared" si="8"/>
        <v>0</v>
      </c>
      <c r="AH40" s="1253">
        <f t="shared" si="9"/>
        <v>1</v>
      </c>
      <c r="AI40" s="1253">
        <f t="shared" si="10"/>
        <v>0</v>
      </c>
      <c r="AJ40" s="1253">
        <f t="shared" si="19"/>
        <v>0</v>
      </c>
      <c r="AK40" s="273"/>
      <c r="AL40" s="1255">
        <f t="shared" si="11"/>
        <v>0</v>
      </c>
      <c r="AM40" s="1255"/>
      <c r="AN40" s="1255" t="str">
        <f>IF('A(1)-Sources Stmt.'!Q46&lt;&gt;"",'A(1)-Sources Stmt.'!Q46,"")</f>
        <v/>
      </c>
      <c r="AO40" s="1255" t="str">
        <f t="shared" si="12"/>
        <v/>
      </c>
      <c r="AP40" s="894" t="b">
        <f t="shared" si="20"/>
        <v>0</v>
      </c>
      <c r="AQ40" s="974">
        <f t="shared" si="3"/>
        <v>1</v>
      </c>
      <c r="AR40" s="974">
        <f t="shared" si="13"/>
        <v>0</v>
      </c>
      <c r="AS40" s="974">
        <f t="shared" si="14"/>
        <v>0</v>
      </c>
      <c r="AU40" s="974">
        <f t="shared" si="4"/>
        <v>0</v>
      </c>
      <c r="AV40" s="974"/>
      <c r="AW40" s="974" t="b">
        <f t="shared" si="15"/>
        <v>0</v>
      </c>
      <c r="AX40" s="974">
        <f t="shared" si="5"/>
        <v>1</v>
      </c>
      <c r="AY40" s="974">
        <f t="shared" si="16"/>
        <v>0</v>
      </c>
      <c r="AZ40" s="974">
        <f t="shared" si="6"/>
        <v>0</v>
      </c>
      <c r="BB40" s="974">
        <f t="shared" si="17"/>
        <v>0</v>
      </c>
      <c r="BC40" s="974"/>
      <c r="BD40" s="974">
        <v>0.12</v>
      </c>
    </row>
    <row r="41" spans="1:58" ht="13.5" customHeight="1" thickBot="1">
      <c r="A41" s="40"/>
      <c r="B41" s="1215"/>
      <c r="C41" s="1216"/>
      <c r="D41" s="1970"/>
      <c r="E41" s="1971"/>
      <c r="F41" s="1971"/>
      <c r="G41" s="1971"/>
      <c r="H41" s="1971"/>
      <c r="I41" s="625"/>
      <c r="J41" s="588"/>
      <c r="K41" s="742"/>
      <c r="L41" s="730"/>
      <c r="M41" s="730"/>
      <c r="N41" s="730"/>
      <c r="O41" s="730"/>
      <c r="P41" s="730"/>
      <c r="Q41" s="743"/>
      <c r="T41" s="10"/>
      <c r="U41" s="956">
        <f>IF(D41="",1,0)</f>
        <v>1</v>
      </c>
      <c r="V41" s="378"/>
      <c r="W41" s="955"/>
      <c r="X41" s="377"/>
      <c r="Y41" s="974">
        <f t="shared" si="21"/>
        <v>0</v>
      </c>
      <c r="Z41" s="271">
        <f t="shared" si="18"/>
        <v>0</v>
      </c>
      <c r="AA41" s="271">
        <f t="shared" si="7"/>
        <v>0</v>
      </c>
      <c r="AB41" s="94">
        <f>'A(1)-Sources Stmt.'!D47</f>
        <v>0</v>
      </c>
      <c r="AC41" s="94">
        <f>'A(1)-Sources Stmt.'!G47</f>
        <v>0</v>
      </c>
      <c r="AD41" s="94">
        <f>'A(1)-Sources Stmt.'!J47</f>
        <v>0</v>
      </c>
      <c r="AE41" s="95">
        <f>IF(AND('A(1)-Sources Stmt.'!P47&gt;0,'A(1)-Sources Stmt.'!P47&lt;&gt;""),ROUND('A(1)-Sources Stmt.'!P47,0),0)</f>
        <v>0</v>
      </c>
      <c r="AF41" s="528">
        <f>'A(1)-Sources Stmt.'!O47</f>
        <v>0</v>
      </c>
      <c r="AG41" s="95" t="b">
        <f t="shared" si="8"/>
        <v>0</v>
      </c>
      <c r="AH41" s="1253">
        <f t="shared" si="9"/>
        <v>1</v>
      </c>
      <c r="AI41" s="1253">
        <f t="shared" si="10"/>
        <v>0</v>
      </c>
      <c r="AJ41" s="1253">
        <f t="shared" si="19"/>
        <v>0</v>
      </c>
      <c r="AK41" s="273"/>
      <c r="AL41" s="1255">
        <f t="shared" si="11"/>
        <v>0</v>
      </c>
      <c r="AM41" s="1255"/>
      <c r="AN41" s="1255" t="str">
        <f>IF('A(1)-Sources Stmt.'!Q47&lt;&gt;"",'A(1)-Sources Stmt.'!Q47,"")</f>
        <v/>
      </c>
      <c r="AO41" s="1255" t="str">
        <f t="shared" si="12"/>
        <v/>
      </c>
      <c r="AP41" s="894" t="b">
        <f t="shared" si="20"/>
        <v>0</v>
      </c>
      <c r="AQ41" s="974">
        <f t="shared" si="3"/>
        <v>1</v>
      </c>
      <c r="AR41" s="974">
        <f t="shared" si="13"/>
        <v>0</v>
      </c>
      <c r="AS41" s="974">
        <f t="shared" si="14"/>
        <v>0</v>
      </c>
      <c r="AU41" s="974">
        <f t="shared" si="4"/>
        <v>0</v>
      </c>
      <c r="AV41" s="974"/>
      <c r="AW41" s="974" t="b">
        <f t="shared" si="15"/>
        <v>0</v>
      </c>
      <c r="AX41" s="974">
        <f t="shared" si="5"/>
        <v>1</v>
      </c>
      <c r="AY41" s="974">
        <f t="shared" si="16"/>
        <v>0</v>
      </c>
      <c r="AZ41" s="974">
        <f t="shared" si="6"/>
        <v>0</v>
      </c>
      <c r="BB41" s="974">
        <f t="shared" si="17"/>
        <v>0</v>
      </c>
      <c r="BC41" s="974"/>
      <c r="BD41" s="974">
        <v>0.13</v>
      </c>
    </row>
    <row r="42" spans="1:58" ht="13.5" customHeight="1" thickTop="1" thickBot="1">
      <c r="A42" s="40"/>
      <c r="B42" s="172"/>
      <c r="C42" s="10"/>
      <c r="D42" s="1863" t="s">
        <v>5</v>
      </c>
      <c r="E42" s="1863"/>
      <c r="F42" s="1863"/>
      <c r="G42" s="1863"/>
      <c r="H42" s="1863"/>
      <c r="I42" s="1863"/>
      <c r="J42" s="67"/>
      <c r="K42" s="1049">
        <f>ROUND(SUM(K35:K41)+K26,0)</f>
        <v>0</v>
      </c>
      <c r="L42" s="1050">
        <f t="shared" ref="L42:Q42" si="23">ROUND(SUM(L35:L41)+L26,0)</f>
        <v>0</v>
      </c>
      <c r="M42" s="1050">
        <f t="shared" si="23"/>
        <v>0</v>
      </c>
      <c r="N42" s="1050">
        <f t="shared" si="23"/>
        <v>0</v>
      </c>
      <c r="O42" s="1050">
        <f t="shared" si="23"/>
        <v>0</v>
      </c>
      <c r="P42" s="1050">
        <f t="shared" si="23"/>
        <v>0</v>
      </c>
      <c r="Q42" s="1051">
        <f t="shared" si="23"/>
        <v>0</v>
      </c>
      <c r="T42" s="10"/>
      <c r="U42" s="74"/>
      <c r="V42" s="378"/>
      <c r="W42" s="955"/>
      <c r="X42" s="377"/>
      <c r="Y42" s="974">
        <f t="shared" si="21"/>
        <v>0</v>
      </c>
      <c r="Z42" s="271">
        <f t="shared" si="18"/>
        <v>0</v>
      </c>
      <c r="AA42" s="271">
        <f t="shared" si="7"/>
        <v>0</v>
      </c>
      <c r="AB42" s="94">
        <f>'A(1)-Sources Stmt.'!D48</f>
        <v>0</v>
      </c>
      <c r="AC42" s="94">
        <f>'A(1)-Sources Stmt.'!G48</f>
        <v>0</v>
      </c>
      <c r="AD42" s="94">
        <f>'A(1)-Sources Stmt.'!J48</f>
        <v>0</v>
      </c>
      <c r="AE42" s="95">
        <f>IF(AND('A(1)-Sources Stmt.'!P48&gt;0,'A(1)-Sources Stmt.'!P48&lt;&gt;""),ROUND('A(1)-Sources Stmt.'!P48,0),0)</f>
        <v>0</v>
      </c>
      <c r="AF42" s="528">
        <f>'A(1)-Sources Stmt.'!O48</f>
        <v>0</v>
      </c>
      <c r="AG42" s="95" t="b">
        <f t="shared" si="8"/>
        <v>0</v>
      </c>
      <c r="AH42" s="1253">
        <f t="shared" si="9"/>
        <v>1</v>
      </c>
      <c r="AI42" s="1253">
        <f t="shared" si="10"/>
        <v>0</v>
      </c>
      <c r="AJ42" s="1253">
        <f t="shared" si="19"/>
        <v>0</v>
      </c>
      <c r="AK42" s="273"/>
      <c r="AL42" s="1255">
        <f t="shared" si="11"/>
        <v>0</v>
      </c>
      <c r="AM42" s="1255"/>
      <c r="AN42" s="1255" t="str">
        <f>IF('A(1)-Sources Stmt.'!Q48&lt;&gt;"",'A(1)-Sources Stmt.'!Q48,"")</f>
        <v/>
      </c>
      <c r="AO42" s="1255" t="str">
        <f t="shared" si="12"/>
        <v/>
      </c>
      <c r="AP42" s="894" t="b">
        <f t="shared" si="20"/>
        <v>0</v>
      </c>
      <c r="AQ42" s="974">
        <f t="shared" si="3"/>
        <v>1</v>
      </c>
      <c r="AR42" s="974">
        <f t="shared" si="13"/>
        <v>0</v>
      </c>
      <c r="AS42" s="974">
        <f t="shared" si="14"/>
        <v>0</v>
      </c>
      <c r="AU42" s="974">
        <f t="shared" si="4"/>
        <v>0</v>
      </c>
      <c r="AV42" s="974"/>
      <c r="AW42" s="974" t="b">
        <f t="shared" si="15"/>
        <v>0</v>
      </c>
      <c r="AX42" s="974">
        <f t="shared" si="5"/>
        <v>1</v>
      </c>
      <c r="AY42" s="974">
        <f t="shared" si="16"/>
        <v>0</v>
      </c>
      <c r="AZ42" s="974">
        <f t="shared" si="6"/>
        <v>0</v>
      </c>
      <c r="BB42" s="974">
        <f t="shared" si="17"/>
        <v>0</v>
      </c>
      <c r="BC42" s="974"/>
      <c r="BD42" s="974">
        <v>0.14000000000000001</v>
      </c>
    </row>
    <row r="43" spans="1:58" ht="13.5" customHeight="1" thickTop="1" thickBot="1">
      <c r="A43" s="40"/>
      <c r="B43" s="172"/>
      <c r="C43" s="10"/>
      <c r="D43" s="1863" t="s">
        <v>912</v>
      </c>
      <c r="E43" s="1863"/>
      <c r="F43" s="1863"/>
      <c r="G43" s="1863"/>
      <c r="H43" s="1863"/>
      <c r="I43" s="1863"/>
      <c r="J43" s="67"/>
      <c r="K43" s="975">
        <f t="shared" ref="K43:Q43" si="24">K24-K42</f>
        <v>0</v>
      </c>
      <c r="L43" s="976">
        <f t="shared" si="24"/>
        <v>0</v>
      </c>
      <c r="M43" s="976">
        <f t="shared" si="24"/>
        <v>0</v>
      </c>
      <c r="N43" s="976">
        <f t="shared" si="24"/>
        <v>0</v>
      </c>
      <c r="O43" s="976">
        <f t="shared" si="24"/>
        <v>0</v>
      </c>
      <c r="P43" s="976">
        <f t="shared" si="24"/>
        <v>0</v>
      </c>
      <c r="Q43" s="981">
        <f t="shared" si="24"/>
        <v>0</v>
      </c>
      <c r="T43" s="10"/>
      <c r="U43" s="74"/>
      <c r="V43" s="378"/>
      <c r="W43" s="955"/>
      <c r="X43" s="377"/>
      <c r="Y43" s="974">
        <f t="shared" si="21"/>
        <v>0</v>
      </c>
      <c r="Z43" s="271">
        <f t="shared" si="18"/>
        <v>0</v>
      </c>
      <c r="AA43" s="271">
        <f t="shared" si="7"/>
        <v>0</v>
      </c>
      <c r="AB43" s="94">
        <f>'A(1)-Sources Stmt.'!D49</f>
        <v>0</v>
      </c>
      <c r="AC43" s="94">
        <f>'A(1)-Sources Stmt.'!G49</f>
        <v>0</v>
      </c>
      <c r="AD43" s="94">
        <f>'A(1)-Sources Stmt.'!J49</f>
        <v>0</v>
      </c>
      <c r="AE43" s="95">
        <f>IF(AND('A(1)-Sources Stmt.'!P49&gt;0,'A(1)-Sources Stmt.'!P49&lt;&gt;""),ROUND('A(1)-Sources Stmt.'!P49,0),0)</f>
        <v>0</v>
      </c>
      <c r="AF43" s="528">
        <f>'A(1)-Sources Stmt.'!O49</f>
        <v>0</v>
      </c>
      <c r="AG43" s="95" t="b">
        <f t="shared" si="8"/>
        <v>0</v>
      </c>
      <c r="AH43" s="1253">
        <f t="shared" si="9"/>
        <v>1</v>
      </c>
      <c r="AI43" s="1253">
        <f t="shared" si="10"/>
        <v>0</v>
      </c>
      <c r="AJ43" s="1253">
        <f t="shared" si="19"/>
        <v>0</v>
      </c>
      <c r="AK43" s="273"/>
      <c r="AL43" s="1255">
        <f t="shared" si="11"/>
        <v>0</v>
      </c>
      <c r="AM43" s="1255"/>
      <c r="AN43" s="1255" t="str">
        <f>IF('A(1)-Sources Stmt.'!Q49&lt;&gt;"",'A(1)-Sources Stmt.'!Q49,"")</f>
        <v/>
      </c>
      <c r="AO43" s="1255" t="str">
        <f t="shared" si="12"/>
        <v/>
      </c>
      <c r="AP43" s="894" t="b">
        <f t="shared" si="20"/>
        <v>0</v>
      </c>
      <c r="AQ43" s="974">
        <f t="shared" ref="AQ43" si="25">IF(AND(AF43&lt;1,AD43="Other"),1,$AT$29+1)</f>
        <v>1</v>
      </c>
      <c r="AR43" s="974">
        <f t="shared" si="13"/>
        <v>0</v>
      </c>
      <c r="AS43" s="974">
        <f t="shared" si="14"/>
        <v>0</v>
      </c>
      <c r="AU43" s="974">
        <f t="shared" si="4"/>
        <v>0</v>
      </c>
      <c r="AV43" s="974"/>
      <c r="AW43" s="974" t="b">
        <f t="shared" si="15"/>
        <v>0</v>
      </c>
      <c r="AX43" s="974">
        <f t="shared" si="5"/>
        <v>1</v>
      </c>
      <c r="AY43" s="974">
        <f t="shared" si="16"/>
        <v>0</v>
      </c>
      <c r="AZ43" s="974">
        <f t="shared" ref="AZ43" si="26">IF(AND(AF43&lt;1,AD43="Cash Flow"),RANK(AY43,$AY$29:$AY$43),0)</f>
        <v>0</v>
      </c>
      <c r="BB43" s="974">
        <f t="shared" si="17"/>
        <v>0</v>
      </c>
      <c r="BC43" s="974"/>
      <c r="BD43" s="974">
        <v>0.15</v>
      </c>
    </row>
    <row r="44" spans="1:58" ht="24" customHeight="1" thickTop="1">
      <c r="B44" s="1981" t="s">
        <v>1272</v>
      </c>
      <c r="C44" s="1981"/>
      <c r="D44" s="1981"/>
      <c r="E44" s="1981"/>
      <c r="F44" s="1981"/>
      <c r="G44" s="1981"/>
      <c r="H44" s="1981"/>
      <c r="I44" s="1981"/>
      <c r="K44" s="7"/>
      <c r="L44" s="7"/>
      <c r="M44" s="7"/>
      <c r="N44" s="7"/>
      <c r="O44" s="7"/>
      <c r="P44" s="7"/>
      <c r="Q44" s="641"/>
      <c r="T44" s="10"/>
      <c r="U44" s="74"/>
      <c r="V44" s="378"/>
      <c r="W44" s="955"/>
      <c r="X44" s="377"/>
      <c r="Y44" s="1253">
        <f>MAX(Y29:Y43)</f>
        <v>0</v>
      </c>
      <c r="Z44" s="1253">
        <f>MAX(Z29:Z43)</f>
        <v>0</v>
      </c>
      <c r="AA44" s="1253">
        <f>MAX(AA29:AA43)</f>
        <v>0</v>
      </c>
      <c r="AB44" s="404"/>
      <c r="AC44" s="404"/>
      <c r="AD44" s="404"/>
      <c r="AE44" s="93"/>
      <c r="AF44" s="93"/>
      <c r="AG44" s="93"/>
      <c r="AH44" s="74"/>
      <c r="AI44" s="74"/>
      <c r="AJ44" s="74"/>
      <c r="AK44" s="273"/>
      <c r="AL44" s="955"/>
      <c r="AM44" s="955"/>
      <c r="AN44" s="955"/>
      <c r="AO44" s="955"/>
      <c r="AP44" s="955"/>
    </row>
    <row r="45" spans="1:58" ht="15" thickBot="1">
      <c r="C45" s="1220"/>
      <c r="D45" s="1220"/>
      <c r="E45" s="1220"/>
      <c r="F45" s="1220"/>
      <c r="G45" s="1220"/>
      <c r="H45" s="1220"/>
      <c r="I45" s="895"/>
      <c r="J45" s="895"/>
      <c r="K45" s="1968" t="s">
        <v>995</v>
      </c>
      <c r="L45" s="1968"/>
      <c r="Q45" s="131"/>
      <c r="T45" s="10"/>
      <c r="U45" s="74"/>
      <c r="V45" s="378"/>
      <c r="W45" s="955"/>
      <c r="X45" s="377"/>
      <c r="AA45" s="74"/>
      <c r="AB45" s="404"/>
      <c r="AC45" s="404"/>
      <c r="AD45" s="404"/>
      <c r="AE45" s="93"/>
      <c r="AF45" s="93"/>
      <c r="AG45" s="93"/>
      <c r="AH45" s="74"/>
      <c r="AI45" s="74"/>
      <c r="AJ45" s="74"/>
      <c r="AK45" s="273"/>
      <c r="AL45" s="955"/>
      <c r="AM45" s="955"/>
      <c r="AN45" s="955"/>
      <c r="AO45" s="955"/>
      <c r="AP45" s="955"/>
    </row>
    <row r="46" spans="1:58" ht="13.5" customHeight="1" thickTop="1">
      <c r="C46" s="13"/>
      <c r="D46" s="1766" t="str">
        <f>IFERROR(IF(AA44&gt;=1,(VLOOKUP(1,AA29:AK43,2,FALSE)),"None"),"")</f>
        <v>None</v>
      </c>
      <c r="E46" s="1766"/>
      <c r="F46" s="1766"/>
      <c r="G46" s="1766"/>
      <c r="H46" s="1766"/>
      <c r="I46" s="586"/>
      <c r="J46" s="71"/>
      <c r="K46" s="1041" t="str">
        <f>IF($AA$44&gt;=1,(VLOOKUP(1,$AA$29:$AK$43,7,FALSE)),"$0.00")</f>
        <v>$0.00</v>
      </c>
      <c r="L46" s="1042" t="str">
        <f t="shared" ref="L46:Q46" si="27">K46</f>
        <v>$0.00</v>
      </c>
      <c r="M46" s="1042" t="str">
        <f t="shared" si="27"/>
        <v>$0.00</v>
      </c>
      <c r="N46" s="1042" t="str">
        <f t="shared" si="27"/>
        <v>$0.00</v>
      </c>
      <c r="O46" s="1042" t="str">
        <f t="shared" si="27"/>
        <v>$0.00</v>
      </c>
      <c r="P46" s="1042" t="str">
        <f t="shared" si="27"/>
        <v>$0.00</v>
      </c>
      <c r="Q46" s="1043" t="str">
        <f t="shared" si="27"/>
        <v>$0.00</v>
      </c>
      <c r="T46" s="10"/>
      <c r="U46" s="62" t="str">
        <f>IF(AA44&gt;=1,(VLOOKUP(1,AA29:AE43,3,FALSE)),"None")</f>
        <v>None</v>
      </c>
      <c r="V46" s="1256" t="b">
        <f>IF(U46="Other",1,IF(U46="Conventional",2))</f>
        <v>0</v>
      </c>
      <c r="W46" s="955"/>
      <c r="X46" s="377"/>
      <c r="Y46" s="376"/>
      <c r="AA46" s="273"/>
      <c r="AB46" s="404"/>
      <c r="AC46" s="404"/>
      <c r="AD46" s="404"/>
      <c r="AE46" s="93"/>
      <c r="AF46" s="93"/>
      <c r="AG46" s="93"/>
      <c r="AH46" s="74"/>
      <c r="AI46" s="74"/>
      <c r="AJ46" s="74"/>
      <c r="AK46" s="273"/>
      <c r="AL46" s="955"/>
      <c r="AM46" s="955"/>
      <c r="AN46" s="955"/>
      <c r="AO46" s="955"/>
      <c r="AP46" s="955"/>
    </row>
    <row r="47" spans="1:58" ht="13.5" customHeight="1">
      <c r="C47" s="13"/>
      <c r="D47" s="1766" t="str">
        <f>IFERROR(IF(AA44&gt;=2,(VLOOKUP(2,AA29:AK43,2,FALSE)),"None"),"")</f>
        <v>None</v>
      </c>
      <c r="E47" s="1766"/>
      <c r="F47" s="1766"/>
      <c r="G47" s="1766"/>
      <c r="H47" s="1766"/>
      <c r="I47" s="586"/>
      <c r="J47" s="71"/>
      <c r="K47" s="1044" t="str">
        <f>IF($AA$44&gt;=2,(VLOOKUP(2,$AA$29:$AK$43,7,FALSE)),"$0.00")</f>
        <v>$0.00</v>
      </c>
      <c r="L47" s="1008" t="str">
        <f>IF(AND(K47&lt;&gt;"",K47&gt;0),K47,"")</f>
        <v>$0.00</v>
      </c>
      <c r="M47" s="1008" t="str">
        <f>L47</f>
        <v>$0.00</v>
      </c>
      <c r="N47" s="1008" t="str">
        <f>M47</f>
        <v>$0.00</v>
      </c>
      <c r="O47" s="1008" t="str">
        <f>N47</f>
        <v>$0.00</v>
      </c>
      <c r="P47" s="1008" t="str">
        <f>O47</f>
        <v>$0.00</v>
      </c>
      <c r="Q47" s="1045" t="str">
        <f>P47</f>
        <v>$0.00</v>
      </c>
      <c r="T47" s="10"/>
      <c r="U47" s="62" t="str">
        <f>IF(AA44&gt;=2,(VLOOKUP(2,AA29:AK43,4,FALSE)),"None")</f>
        <v>None</v>
      </c>
      <c r="V47" s="1256" t="b">
        <f t="shared" ref="V47:V56" si="28">IF(U47="Other",1,IF(U47="Conventional",2))</f>
        <v>0</v>
      </c>
      <c r="W47" s="955"/>
      <c r="X47" s="377"/>
      <c r="AB47" s="273"/>
      <c r="AC47" s="273"/>
      <c r="AD47" s="273"/>
      <c r="AE47" s="273"/>
      <c r="AF47" s="273"/>
      <c r="AG47" s="273"/>
      <c r="AH47" s="273"/>
      <c r="AI47" s="273"/>
      <c r="AJ47" s="273"/>
      <c r="AK47" s="273"/>
      <c r="AL47" s="955"/>
      <c r="AM47" s="955"/>
      <c r="AN47" s="955"/>
      <c r="AO47" s="955"/>
      <c r="AP47" s="955"/>
    </row>
    <row r="48" spans="1:58" ht="13.5" customHeight="1">
      <c r="C48" s="13"/>
      <c r="D48" s="1766" t="str">
        <f>IFERROR(IF(AA44&gt;=3,(VLOOKUP(3,AA29:AK43,2,FALSE)),"None"),"")</f>
        <v>None</v>
      </c>
      <c r="E48" s="1766"/>
      <c r="F48" s="1766"/>
      <c r="G48" s="1766"/>
      <c r="H48" s="1766"/>
      <c r="I48" s="586"/>
      <c r="J48" s="71"/>
      <c r="K48" s="1044" t="str">
        <f>IF(AA44&gt;=3,(VLOOKUP(3,AA29:AK43,7,FALSE)),"$0.00")</f>
        <v>$0.00</v>
      </c>
      <c r="L48" s="1008" t="str">
        <f>IF(AND(K48&lt;&gt;"",K48&gt;0),K48,"")</f>
        <v>$0.00</v>
      </c>
      <c r="M48" s="1008" t="str">
        <f t="shared" ref="M48:Q49" si="29">L48</f>
        <v>$0.00</v>
      </c>
      <c r="N48" s="1008" t="str">
        <f t="shared" si="29"/>
        <v>$0.00</v>
      </c>
      <c r="O48" s="1008" t="str">
        <f t="shared" si="29"/>
        <v>$0.00</v>
      </c>
      <c r="P48" s="1008" t="str">
        <f t="shared" si="29"/>
        <v>$0.00</v>
      </c>
      <c r="Q48" s="1045" t="str">
        <f t="shared" si="29"/>
        <v>$0.00</v>
      </c>
      <c r="T48" s="10"/>
      <c r="U48" s="62" t="str">
        <f>IF(AA44&gt;=3,(VLOOKUP(3,AA29:AK43,4,FALSE)),"None")</f>
        <v>None</v>
      </c>
      <c r="V48" s="1256" t="b">
        <f t="shared" si="28"/>
        <v>0</v>
      </c>
      <c r="W48" s="955"/>
      <c r="X48" s="377"/>
      <c r="Y48" s="376"/>
      <c r="Z48" s="14"/>
      <c r="AB48" s="74"/>
      <c r="AC48" s="74"/>
      <c r="AD48" s="74"/>
      <c r="AE48" s="74"/>
      <c r="AF48" s="74"/>
      <c r="AG48" s="74"/>
      <c r="AH48" s="74"/>
      <c r="AI48" s="74"/>
      <c r="AJ48" s="74"/>
      <c r="AK48" s="74"/>
      <c r="AL48" s="955"/>
      <c r="AM48" s="955"/>
      <c r="AN48" s="955"/>
      <c r="AO48" s="955"/>
      <c r="AP48" s="955"/>
    </row>
    <row r="49" spans="2:58" ht="13.5" customHeight="1">
      <c r="C49" s="13"/>
      <c r="D49" s="1766" t="str">
        <f>IFERROR(IF(AA44&gt;=4,(VLOOKUP(4,AA29:AK43,2,FALSE)),"None"),"")</f>
        <v>None</v>
      </c>
      <c r="E49" s="1766"/>
      <c r="F49" s="1766"/>
      <c r="G49" s="1766"/>
      <c r="H49" s="1766"/>
      <c r="I49" s="586"/>
      <c r="J49" s="71"/>
      <c r="K49" s="1044" t="str">
        <f>IF(AA44&gt;=4,(VLOOKUP(4,AA29:AK43,7,FALSE)),"$0.00")</f>
        <v>$0.00</v>
      </c>
      <c r="L49" s="1008" t="str">
        <f>IF(AND(K49&lt;&gt;"",K49&gt;0),K49,"")</f>
        <v>$0.00</v>
      </c>
      <c r="M49" s="1008" t="str">
        <f t="shared" si="29"/>
        <v>$0.00</v>
      </c>
      <c r="N49" s="1008" t="str">
        <f t="shared" si="29"/>
        <v>$0.00</v>
      </c>
      <c r="O49" s="1008" t="str">
        <f t="shared" si="29"/>
        <v>$0.00</v>
      </c>
      <c r="P49" s="1008" t="str">
        <f t="shared" si="29"/>
        <v>$0.00</v>
      </c>
      <c r="Q49" s="1045" t="str">
        <f t="shared" si="29"/>
        <v>$0.00</v>
      </c>
      <c r="T49" s="10"/>
      <c r="U49" s="62" t="str">
        <f>IF(AA44&gt;=4,(VLOOKUP(4,AA29:AK43,4,FALSE)),"None")</f>
        <v>None</v>
      </c>
      <c r="V49" s="1256" t="b">
        <f t="shared" si="28"/>
        <v>0</v>
      </c>
      <c r="W49" s="955"/>
      <c r="X49" s="377"/>
      <c r="Y49" s="185" t="s">
        <v>917</v>
      </c>
      <c r="Z49" s="1257">
        <f>SUM(K37:Q37)</f>
        <v>0</v>
      </c>
      <c r="AA49" s="185">
        <f>IF(Z49&gt;0,1,0)</f>
        <v>0</v>
      </c>
      <c r="AB49" s="955"/>
      <c r="AC49" s="955"/>
      <c r="AD49" s="955"/>
      <c r="AE49" s="955"/>
      <c r="AF49" s="955"/>
      <c r="AG49" s="955"/>
      <c r="AH49" s="955"/>
      <c r="AI49" s="955"/>
      <c r="AJ49" s="955"/>
      <c r="AK49" s="955"/>
      <c r="AL49" s="955"/>
      <c r="AM49" s="955"/>
      <c r="AN49" s="955"/>
      <c r="AO49" s="955"/>
      <c r="AP49" s="955"/>
    </row>
    <row r="50" spans="2:58" ht="13.5" customHeight="1" thickBot="1">
      <c r="C50" s="13"/>
      <c r="D50" s="1976" t="str">
        <f>IFERROR(IF(AA44&gt;=5,(VLOOKUP(5,AA29:AK43,2,FALSE)),"None"),"")</f>
        <v>None</v>
      </c>
      <c r="E50" s="1976"/>
      <c r="F50" s="1976"/>
      <c r="G50" s="1976"/>
      <c r="H50" s="1976"/>
      <c r="I50" s="586"/>
      <c r="J50" s="71"/>
      <c r="K50" s="1046" t="str">
        <f>IF(AA44&gt;=4,(VLOOKUP(5,AA29:AK43,7,FALSE)),"$0.00")</f>
        <v>$0.00</v>
      </c>
      <c r="L50" s="1047" t="str">
        <f>IF(AND(K50&lt;&gt;"",K50&gt;0),K50,"")</f>
        <v>$0.00</v>
      </c>
      <c r="M50" s="1047" t="str">
        <f>L50</f>
        <v>$0.00</v>
      </c>
      <c r="N50" s="1047" t="str">
        <f>M50</f>
        <v>$0.00</v>
      </c>
      <c r="O50" s="1047" t="str">
        <f>N50</f>
        <v>$0.00</v>
      </c>
      <c r="P50" s="1047" t="str">
        <f>O50</f>
        <v>$0.00</v>
      </c>
      <c r="Q50" s="1048" t="str">
        <f>P50</f>
        <v>$0.00</v>
      </c>
      <c r="T50" s="10"/>
      <c r="U50" s="62" t="str">
        <f>IF(AA44&gt;=5,(VLOOKUP(5,AA29:AK43,4,FALSE)),"None")</f>
        <v>None</v>
      </c>
      <c r="V50" s="1256" t="b">
        <f t="shared" si="28"/>
        <v>0</v>
      </c>
      <c r="W50" s="955"/>
      <c r="X50" s="955"/>
      <c r="Y50" s="185" t="s">
        <v>918</v>
      </c>
      <c r="Z50" s="1258">
        <f>'A(2)-Uses Statement'!$M$66</f>
        <v>0</v>
      </c>
      <c r="AA50" s="185">
        <f>IF(Z50&gt;0,1,0)</f>
        <v>0</v>
      </c>
      <c r="AJ50" s="955"/>
      <c r="AK50" s="955"/>
      <c r="AL50" s="955"/>
      <c r="AM50" s="955"/>
      <c r="AN50" s="955"/>
      <c r="AO50" s="955"/>
      <c r="AP50" s="955"/>
    </row>
    <row r="51" spans="2:58" s="642" customFormat="1" ht="24" customHeight="1" thickTop="1">
      <c r="C51" s="1219"/>
      <c r="D51" s="1219"/>
      <c r="E51" s="1219"/>
      <c r="F51" s="1219"/>
      <c r="G51" s="1219"/>
      <c r="H51" s="1219"/>
      <c r="I51" s="896"/>
      <c r="J51" s="896"/>
      <c r="K51" s="1990" t="str">
        <f>IF(AND(S58&gt;0,T58=0),"Input Debt Service for Other Permanent Loans","Other Permanent Loans")</f>
        <v>Other Permanent Loans</v>
      </c>
      <c r="L51" s="1990"/>
      <c r="M51" s="1990"/>
      <c r="N51" s="1990"/>
      <c r="R51"/>
      <c r="S51" s="798"/>
      <c r="T51" s="1259"/>
      <c r="U51" s="1259"/>
      <c r="V51" s="1259"/>
      <c r="W51" s="1259"/>
      <c r="X51" s="1259"/>
      <c r="Y51" s="1259"/>
      <c r="Z51" s="1259"/>
      <c r="AA51" s="1259"/>
      <c r="AB51" s="1259"/>
      <c r="AC51" s="1259"/>
      <c r="AD51" s="1259"/>
      <c r="AE51" s="1259"/>
      <c r="AF51" s="1259"/>
      <c r="AG51" s="1259"/>
      <c r="AH51" s="1259"/>
      <c r="AI51" s="1259"/>
      <c r="AJ51" s="1259"/>
      <c r="AK51" s="1259"/>
      <c r="AL51" s="1259"/>
      <c r="AM51" s="1259"/>
      <c r="AN51" s="1259"/>
      <c r="AO51" s="1259"/>
      <c r="AP51" s="1259"/>
      <c r="AQ51" s="1259"/>
      <c r="AR51" s="1259"/>
      <c r="AS51" s="1259"/>
      <c r="AT51" s="1259"/>
      <c r="AU51" s="1259"/>
      <c r="AV51" s="1259"/>
      <c r="AW51" s="1259"/>
      <c r="AX51" s="1259"/>
      <c r="AY51" s="1259"/>
      <c r="AZ51" s="1259"/>
      <c r="BA51" s="1259"/>
      <c r="BB51" s="1259"/>
      <c r="BC51" s="1259"/>
      <c r="BD51" s="1259"/>
      <c r="BE51" s="1259"/>
      <c r="BF51" s="1259"/>
    </row>
    <row r="52" spans="2:58" customFormat="1" ht="13.5" customHeight="1">
      <c r="D52" s="1969" t="str">
        <f>IF(Z44&gt;=1,(VLOOKUP(1,Z29:AJ43,3,FALSE)),"None")</f>
        <v>None</v>
      </c>
      <c r="E52" s="1969"/>
      <c r="F52" s="1969"/>
      <c r="G52" s="1969"/>
      <c r="H52" s="1969"/>
      <c r="I52" s="1"/>
      <c r="J52" s="1"/>
      <c r="K52" s="818"/>
      <c r="L52" s="819"/>
      <c r="M52" s="819"/>
      <c r="N52" s="819"/>
      <c r="O52" s="819"/>
      <c r="P52" s="819"/>
      <c r="Q52" s="820"/>
      <c r="S52" s="798">
        <f>IF(D52&lt;&gt;"None",1,0)</f>
        <v>0</v>
      </c>
      <c r="T52" s="956">
        <f>COUNTIF(K52:Q52,"&lt;&gt;")</f>
        <v>0</v>
      </c>
      <c r="U52" s="798" t="str">
        <f>IF(AA44&gt;=1,(VLOOKUP(1,AA29:AE43,4,FALSE)),"None")</f>
        <v>None</v>
      </c>
      <c r="V52" s="1256" t="b">
        <f>IF(U52="Other",1,IF(U52="Conventional",2))</f>
        <v>0</v>
      </c>
      <c r="W52" s="798"/>
      <c r="X52" s="798"/>
      <c r="Y52" s="798"/>
      <c r="Z52" s="798">
        <f>IF(D52&lt;&gt;"None",1,0)</f>
        <v>0</v>
      </c>
      <c r="AA52" s="798">
        <f>COUNTIF(K52:Q52,"&lt;&gt;")</f>
        <v>0</v>
      </c>
      <c r="AB52" s="798">
        <f>IF(AND(Z52=1,AA52&lt;7),1,0)</f>
        <v>0</v>
      </c>
      <c r="AC52" s="798"/>
      <c r="AD52" s="798">
        <f>IF(D60&lt;&gt;"None",1,0)</f>
        <v>0</v>
      </c>
      <c r="AE52" s="798">
        <f>COUNTIF(K60:Q60,"&lt;&gt;")</f>
        <v>0</v>
      </c>
      <c r="AF52" s="798">
        <f>IF(AND(AD52=1,AE52&lt;7),1,0)</f>
        <v>0</v>
      </c>
      <c r="AG52" s="798"/>
      <c r="AH52" s="798"/>
      <c r="AI52" s="798"/>
      <c r="AJ52" s="798"/>
      <c r="AK52" s="798"/>
      <c r="AL52" s="798"/>
      <c r="AM52" s="798"/>
      <c r="AN52" s="798"/>
      <c r="AO52" s="798"/>
      <c r="AP52" s="798"/>
      <c r="AQ52" s="798"/>
      <c r="AR52" s="798"/>
      <c r="AS52" s="798"/>
      <c r="AT52" s="798"/>
      <c r="AU52" s="798"/>
      <c r="AV52" s="798"/>
      <c r="AW52" s="798"/>
      <c r="AX52" s="798"/>
      <c r="AY52" s="798"/>
      <c r="AZ52" s="798"/>
      <c r="BA52" s="798"/>
      <c r="BB52" s="798"/>
      <c r="BC52" s="798"/>
      <c r="BD52" s="798"/>
      <c r="BE52" s="798"/>
      <c r="BF52" s="798"/>
    </row>
    <row r="53" spans="2:58" customFormat="1" ht="13.5" customHeight="1">
      <c r="D53" s="1969" t="str">
        <f>IF(Z44&gt;=2,(VLOOKUP(2,Z29:AJ43,3,FALSE)),"None")</f>
        <v>None</v>
      </c>
      <c r="E53" s="1969"/>
      <c r="F53" s="1969"/>
      <c r="G53" s="1969"/>
      <c r="H53" s="1969"/>
      <c r="I53" s="1"/>
      <c r="J53" s="1"/>
      <c r="K53" s="821"/>
      <c r="L53" s="102"/>
      <c r="M53" s="102"/>
      <c r="N53" s="102"/>
      <c r="O53" s="102"/>
      <c r="P53" s="102"/>
      <c r="Q53" s="822"/>
      <c r="S53" s="798">
        <f>IF(D53&lt;&gt;"None",1,0)</f>
        <v>0</v>
      </c>
      <c r="T53" s="956">
        <f>COUNTIF(K53:Q53,"&lt;&gt;")</f>
        <v>0</v>
      </c>
      <c r="U53" s="798" t="str">
        <f>IF(AA44&gt;=2,(VLOOKUP(2,AA29:AK43,4,FALSE)),"None")</f>
        <v>None</v>
      </c>
      <c r="V53" s="1256" t="b">
        <f t="shared" si="28"/>
        <v>0</v>
      </c>
      <c r="W53" s="798"/>
      <c r="X53" s="798"/>
      <c r="Y53" s="798"/>
      <c r="Z53" s="798">
        <f t="shared" ref="Z53:Z56" si="30">IF(D53&lt;&gt;"None",1,0)</f>
        <v>0</v>
      </c>
      <c r="AA53" s="798">
        <f t="shared" ref="AA53:AA56" si="31">COUNTIF(K53:Q53,"&lt;&gt;")</f>
        <v>0</v>
      </c>
      <c r="AB53" s="798">
        <f t="shared" ref="AB53:AB56" si="32">IF(AND(Z53=1,AA53&lt;7),1,0)</f>
        <v>0</v>
      </c>
      <c r="AC53" s="798"/>
      <c r="AD53" s="798">
        <f>IF(D61&lt;&gt;"None",1,0)</f>
        <v>0</v>
      </c>
      <c r="AE53" s="798">
        <f t="shared" ref="AE53:AE56" si="33">COUNTIF(K61:Q61,"&lt;&gt;")</f>
        <v>0</v>
      </c>
      <c r="AF53" s="798">
        <f>IF(AND(AD53=1,AE53&lt;7),1,0)</f>
        <v>0</v>
      </c>
      <c r="AG53" s="798"/>
      <c r="AH53" s="798"/>
      <c r="AI53" s="798"/>
      <c r="AJ53" s="798"/>
      <c r="AK53" s="798"/>
      <c r="AL53" s="798"/>
      <c r="AM53" s="798"/>
      <c r="AN53" s="798"/>
      <c r="AO53" s="798"/>
      <c r="AP53" s="798"/>
      <c r="AQ53" s="798"/>
      <c r="AR53" s="798"/>
      <c r="AS53" s="798"/>
      <c r="AT53" s="798"/>
      <c r="AU53" s="798"/>
      <c r="AV53" s="798"/>
      <c r="AW53" s="798"/>
      <c r="AX53" s="798"/>
      <c r="AY53" s="798"/>
      <c r="AZ53" s="798"/>
      <c r="BA53" s="798"/>
      <c r="BB53" s="798"/>
      <c r="BC53" s="798"/>
      <c r="BD53" s="798"/>
      <c r="BE53" s="798"/>
      <c r="BF53" s="798"/>
    </row>
    <row r="54" spans="2:58" customFormat="1" ht="13.5" customHeight="1">
      <c r="D54" s="1969" t="str">
        <f>IF(Z44&gt;=3,(VLOOKUP(3,Z29:AJ43,3,FALSE)),"None")</f>
        <v>None</v>
      </c>
      <c r="E54" s="1969"/>
      <c r="F54" s="1969"/>
      <c r="G54" s="1969"/>
      <c r="H54" s="1969"/>
      <c r="I54" s="1"/>
      <c r="J54" s="1"/>
      <c r="K54" s="821"/>
      <c r="L54" s="102"/>
      <c r="M54" s="102"/>
      <c r="N54" s="102"/>
      <c r="O54" s="102"/>
      <c r="P54" s="102"/>
      <c r="Q54" s="822"/>
      <c r="S54" s="798">
        <f>IF(D54&lt;&gt;"None",1,0)</f>
        <v>0</v>
      </c>
      <c r="T54" s="956">
        <f>COUNTIF(K54:Q54,"&lt;&gt;")</f>
        <v>0</v>
      </c>
      <c r="U54" s="798" t="str">
        <f>IF(AA44&gt;=3,(VLOOKUP(3,AA29:AK43,4,FALSE)),"None")</f>
        <v>None</v>
      </c>
      <c r="V54" s="1256" t="b">
        <f t="shared" si="28"/>
        <v>0</v>
      </c>
      <c r="W54" s="798"/>
      <c r="X54" s="798"/>
      <c r="Y54" s="798"/>
      <c r="Z54" s="798">
        <f t="shared" si="30"/>
        <v>0</v>
      </c>
      <c r="AA54" s="798">
        <f t="shared" si="31"/>
        <v>0</v>
      </c>
      <c r="AB54" s="798">
        <f t="shared" si="32"/>
        <v>0</v>
      </c>
      <c r="AC54" s="798"/>
      <c r="AD54" s="798">
        <f t="shared" ref="AD54:AD56" si="34">IF(D62&lt;&gt;"None",1,0)</f>
        <v>0</v>
      </c>
      <c r="AE54" s="798">
        <f t="shared" si="33"/>
        <v>0</v>
      </c>
      <c r="AF54" s="798">
        <f t="shared" ref="AF54:AF56" si="35">IF(AND(AD54=1,AE54&lt;7),1,0)</f>
        <v>0</v>
      </c>
      <c r="AG54" s="798"/>
      <c r="AH54" s="798"/>
      <c r="AI54" s="798"/>
      <c r="AJ54" s="798"/>
      <c r="AK54" s="798"/>
      <c r="AL54" s="798"/>
      <c r="AM54" s="798"/>
      <c r="AN54" s="798"/>
      <c r="AO54" s="798"/>
      <c r="AP54" s="798"/>
      <c r="AQ54" s="798"/>
      <c r="AR54" s="798"/>
      <c r="AS54" s="798"/>
      <c r="AT54" s="798"/>
      <c r="AU54" s="798"/>
      <c r="AV54" s="798"/>
      <c r="AW54" s="798"/>
      <c r="AX54" s="798"/>
      <c r="AY54" s="798"/>
      <c r="AZ54" s="798"/>
      <c r="BA54" s="798"/>
      <c r="BB54" s="798"/>
      <c r="BC54" s="798"/>
      <c r="BD54" s="798"/>
      <c r="BE54" s="798"/>
      <c r="BF54" s="798"/>
    </row>
    <row r="55" spans="2:58" customFormat="1" ht="13.5" customHeight="1">
      <c r="D55" s="1969" t="str">
        <f>IF(Z44&gt;=4,(VLOOKUP(4,Z29:AJ43,3,FALSE)),"None")</f>
        <v>None</v>
      </c>
      <c r="E55" s="1969"/>
      <c r="F55" s="1969"/>
      <c r="G55" s="1969"/>
      <c r="H55" s="1969"/>
      <c r="I55" s="1"/>
      <c r="J55" s="1"/>
      <c r="K55" s="821"/>
      <c r="L55" s="102"/>
      <c r="M55" s="102"/>
      <c r="N55" s="102"/>
      <c r="O55" s="102"/>
      <c r="P55" s="102"/>
      <c r="Q55" s="822"/>
      <c r="S55" s="798">
        <f>IF(D55&lt;&gt;"None",1,0)</f>
        <v>0</v>
      </c>
      <c r="T55" s="956">
        <f>COUNTIF(K55:Q55,"&lt;&gt;")</f>
        <v>0</v>
      </c>
      <c r="U55" s="798" t="str">
        <f>IF(AA44&gt;=4,(VLOOKUP(4,AA29:AK43,4,FALSE)),"None")</f>
        <v>None</v>
      </c>
      <c r="V55" s="1256" t="b">
        <f t="shared" si="28"/>
        <v>0</v>
      </c>
      <c r="W55" s="798"/>
      <c r="X55" s="798"/>
      <c r="Y55" s="798"/>
      <c r="Z55" s="798">
        <f t="shared" si="30"/>
        <v>0</v>
      </c>
      <c r="AA55" s="798">
        <f t="shared" si="31"/>
        <v>0</v>
      </c>
      <c r="AB55" s="798">
        <f t="shared" si="32"/>
        <v>0</v>
      </c>
      <c r="AC55" s="798"/>
      <c r="AD55" s="798">
        <f t="shared" si="34"/>
        <v>0</v>
      </c>
      <c r="AE55" s="798">
        <f t="shared" si="33"/>
        <v>0</v>
      </c>
      <c r="AF55" s="798">
        <f t="shared" si="35"/>
        <v>0</v>
      </c>
      <c r="AG55" s="798"/>
      <c r="AH55" s="798"/>
      <c r="AI55" s="798"/>
      <c r="AJ55" s="798"/>
      <c r="AK55" s="798"/>
      <c r="AL55" s="798"/>
      <c r="AM55" s="798"/>
      <c r="AN55" s="798"/>
      <c r="AO55" s="798"/>
      <c r="AP55" s="798"/>
      <c r="AQ55" s="798"/>
      <c r="AR55" s="798"/>
      <c r="AS55" s="798"/>
      <c r="AT55" s="798"/>
      <c r="AU55" s="798"/>
      <c r="AV55" s="798"/>
      <c r="AW55" s="798"/>
      <c r="AX55" s="798"/>
      <c r="AY55" s="798"/>
      <c r="AZ55" s="798"/>
      <c r="BA55" s="798"/>
      <c r="BB55" s="798"/>
      <c r="BC55" s="798"/>
      <c r="BD55" s="798"/>
      <c r="BE55" s="798"/>
      <c r="BF55" s="798"/>
    </row>
    <row r="56" spans="2:58" customFormat="1" ht="13.5" customHeight="1">
      <c r="D56" s="1969" t="str">
        <f>IF(Z44&gt;=5,(VLOOKUP(5,Z29:AJ43,3,FALSE)),"None")</f>
        <v>None</v>
      </c>
      <c r="E56" s="1969"/>
      <c r="F56" s="1969"/>
      <c r="G56" s="1969"/>
      <c r="H56" s="1969"/>
      <c r="I56" s="1"/>
      <c r="J56" s="1"/>
      <c r="K56" s="823"/>
      <c r="L56" s="824"/>
      <c r="M56" s="824"/>
      <c r="N56" s="824"/>
      <c r="O56" s="824"/>
      <c r="P56" s="824"/>
      <c r="Q56" s="825"/>
      <c r="S56" s="798">
        <f>IF(D56&lt;&gt;"None",1,0)</f>
        <v>0</v>
      </c>
      <c r="T56" s="956">
        <f>COUNTIF(K56:Q56,"&lt;&gt;")</f>
        <v>0</v>
      </c>
      <c r="U56" s="798" t="str">
        <f>IF(AA44&gt;=5,(VLOOKUP(5,AA29:AK43,4,FALSE)),"None")</f>
        <v>None</v>
      </c>
      <c r="V56" s="1256" t="b">
        <f t="shared" si="28"/>
        <v>0</v>
      </c>
      <c r="W56" s="798"/>
      <c r="X56" s="798"/>
      <c r="Y56" s="798"/>
      <c r="Z56" s="798">
        <f t="shared" si="30"/>
        <v>0</v>
      </c>
      <c r="AA56" s="798">
        <f t="shared" si="31"/>
        <v>0</v>
      </c>
      <c r="AB56" s="798">
        <f t="shared" si="32"/>
        <v>0</v>
      </c>
      <c r="AC56" s="798"/>
      <c r="AD56" s="798">
        <f t="shared" si="34"/>
        <v>0</v>
      </c>
      <c r="AE56" s="798">
        <f t="shared" si="33"/>
        <v>0</v>
      </c>
      <c r="AF56" s="798">
        <f t="shared" si="35"/>
        <v>0</v>
      </c>
      <c r="AG56" s="798"/>
      <c r="AH56" s="798"/>
      <c r="AI56" s="798"/>
      <c r="AJ56" s="798"/>
      <c r="AK56" s="798"/>
      <c r="AL56" s="798"/>
      <c r="AM56" s="798"/>
      <c r="AN56" s="798"/>
      <c r="AO56" s="798"/>
      <c r="AP56" s="798"/>
      <c r="AQ56" s="798"/>
      <c r="AR56" s="798"/>
      <c r="AS56" s="798"/>
      <c r="AT56" s="798"/>
      <c r="AU56" s="798"/>
      <c r="AV56" s="798"/>
      <c r="AW56" s="798"/>
      <c r="AX56" s="798"/>
      <c r="AY56" s="798"/>
      <c r="AZ56" s="798"/>
      <c r="BA56" s="798"/>
      <c r="BB56" s="798"/>
      <c r="BC56" s="798"/>
      <c r="BD56" s="798"/>
      <c r="BE56" s="798"/>
      <c r="BF56" s="798"/>
    </row>
    <row r="57" spans="2:58" customFormat="1" ht="4.5" customHeight="1" thickBot="1">
      <c r="S57" s="798"/>
      <c r="T57" s="956"/>
      <c r="U57" s="798"/>
      <c r="V57" s="798"/>
      <c r="W57" s="798"/>
      <c r="X57" s="798"/>
      <c r="Y57" s="798"/>
      <c r="Z57" s="798"/>
      <c r="AA57" s="798"/>
      <c r="AB57" s="798"/>
      <c r="AC57" s="798"/>
      <c r="AD57" s="798"/>
      <c r="AE57" s="798"/>
      <c r="AF57" s="798"/>
      <c r="AG57" s="798"/>
      <c r="AH57" s="798"/>
      <c r="AI57" s="798"/>
      <c r="AJ57" s="798"/>
      <c r="AK57" s="798"/>
      <c r="AL57" s="798"/>
      <c r="AM57" s="798"/>
      <c r="AN57" s="798"/>
      <c r="AO57" s="798"/>
      <c r="AP57" s="798"/>
      <c r="AQ57" s="798"/>
      <c r="AR57" s="798"/>
      <c r="AS57" s="798"/>
      <c r="AT57" s="798"/>
      <c r="AU57" s="798"/>
      <c r="AV57" s="798"/>
      <c r="AW57" s="798"/>
      <c r="AX57" s="798"/>
      <c r="AY57" s="798"/>
      <c r="AZ57" s="798"/>
      <c r="BA57" s="798"/>
      <c r="BB57" s="798"/>
      <c r="BC57" s="798"/>
      <c r="BD57" s="798"/>
      <c r="BE57" s="798"/>
      <c r="BF57" s="798"/>
    </row>
    <row r="58" spans="2:58" s="47" customFormat="1" ht="13.5" customHeight="1" thickTop="1" thickBot="1">
      <c r="D58" s="1863" t="s">
        <v>7</v>
      </c>
      <c r="E58" s="1863"/>
      <c r="F58" s="1863"/>
      <c r="G58" s="1863"/>
      <c r="H58" s="1863"/>
      <c r="I58" s="1863"/>
      <c r="J58" s="588"/>
      <c r="K58" s="1052" t="str">
        <f>IFERROR(K43/SUM(K46:K50,K52:K56),"")</f>
        <v/>
      </c>
      <c r="L58" s="1053" t="str">
        <f t="shared" ref="L58:Q58" si="36">IFERROR(L43/SUM(L46:L50,L52:L56),"")</f>
        <v/>
      </c>
      <c r="M58" s="1053" t="str">
        <f t="shared" si="36"/>
        <v/>
      </c>
      <c r="N58" s="1053" t="str">
        <f t="shared" si="36"/>
        <v/>
      </c>
      <c r="O58" s="1053" t="str">
        <f t="shared" si="36"/>
        <v/>
      </c>
      <c r="P58" s="1053" t="str">
        <f t="shared" si="36"/>
        <v/>
      </c>
      <c r="Q58" s="1054" t="str">
        <f t="shared" si="36"/>
        <v/>
      </c>
      <c r="R58"/>
      <c r="S58" s="712">
        <f>SUM(S52:S57)</f>
        <v>0</v>
      </c>
      <c r="T58" s="956">
        <f>SUM(T52:T57)</f>
        <v>0</v>
      </c>
      <c r="U58" s="798"/>
      <c r="V58" s="798"/>
      <c r="W58" s="798"/>
      <c r="X58" s="798"/>
      <c r="Y58" s="798"/>
      <c r="Z58" s="798"/>
      <c r="AA58" s="798"/>
      <c r="AB58" s="798">
        <f>SUM(AB52:AB57)</f>
        <v>0</v>
      </c>
      <c r="AC58" s="798"/>
      <c r="AD58" s="798"/>
      <c r="AE58" s="798"/>
      <c r="AF58" s="798">
        <f>SUM(AF52:AF57)</f>
        <v>0</v>
      </c>
      <c r="AG58" s="798"/>
      <c r="AH58" s="798"/>
      <c r="AI58" s="798"/>
      <c r="AJ58" s="798"/>
      <c r="AK58" s="798"/>
      <c r="AL58" s="798"/>
      <c r="AM58" s="798"/>
      <c r="AN58" s="798"/>
      <c r="AO58" s="798"/>
      <c r="AP58" s="798"/>
      <c r="AQ58" s="798"/>
      <c r="AR58" s="798"/>
      <c r="AS58" s="798"/>
      <c r="AT58" s="798"/>
      <c r="AU58" s="798"/>
      <c r="AV58" s="798"/>
      <c r="AW58" s="798"/>
      <c r="AX58" s="798"/>
      <c r="AY58" s="798"/>
      <c r="AZ58" s="798"/>
      <c r="BA58" s="798"/>
      <c r="BB58" s="798"/>
      <c r="BC58" s="798"/>
      <c r="BD58" s="798"/>
      <c r="BE58" s="798"/>
      <c r="BF58" s="798"/>
    </row>
    <row r="59" spans="2:58" s="47" customFormat="1" ht="24" customHeight="1" thickTop="1">
      <c r="C59" s="1220"/>
      <c r="D59" s="1220"/>
      <c r="E59" s="1220"/>
      <c r="F59" s="1220"/>
      <c r="G59" s="1220"/>
      <c r="H59" s="1220"/>
      <c r="I59" s="895"/>
      <c r="J59" s="895"/>
      <c r="K59" s="1985" t="str">
        <f>IF(AND(S66&gt;0,T66=0),"Input Debt Service for Cash Flow Permanent Loans","Cash Flow Loans")</f>
        <v>Cash Flow Loans</v>
      </c>
      <c r="L59" s="1985"/>
      <c r="M59" s="1985"/>
      <c r="N59" s="1985"/>
      <c r="R59"/>
      <c r="S59" s="798"/>
      <c r="T59" s="798"/>
      <c r="U59" s="798"/>
      <c r="V59" s="798"/>
      <c r="W59" s="798"/>
      <c r="X59" s="798"/>
      <c r="Y59" s="798"/>
      <c r="Z59" s="798"/>
      <c r="AA59" s="798"/>
      <c r="AB59" s="798"/>
      <c r="AC59" s="798"/>
      <c r="AD59" s="798"/>
      <c r="AE59" s="798"/>
      <c r="AF59" s="798"/>
      <c r="AG59" s="798"/>
      <c r="AH59" s="798"/>
      <c r="AI59" s="798"/>
      <c r="AJ59" s="798"/>
      <c r="AK59" s="798"/>
      <c r="AL59" s="798"/>
      <c r="AM59" s="798"/>
      <c r="AN59" s="798"/>
      <c r="AO59" s="798"/>
      <c r="AP59" s="798"/>
      <c r="AQ59" s="798"/>
      <c r="AR59" s="798"/>
      <c r="AS59" s="798"/>
      <c r="AT59" s="798"/>
      <c r="AU59" s="798"/>
      <c r="AV59" s="798"/>
      <c r="AW59" s="798"/>
      <c r="AX59" s="798"/>
      <c r="AY59" s="798"/>
      <c r="AZ59" s="798"/>
      <c r="BA59" s="798"/>
      <c r="BB59" s="798"/>
      <c r="BC59" s="798"/>
      <c r="BD59" s="798"/>
      <c r="BE59" s="798"/>
      <c r="BF59" s="798"/>
    </row>
    <row r="60" spans="2:58" ht="13.5" customHeight="1">
      <c r="C60" s="13"/>
      <c r="D60" s="1969" t="str">
        <f>IF(Y44&gt;=1,(VLOOKUP(1,Y29:AJ43,4,FALSE)),"None")</f>
        <v>None</v>
      </c>
      <c r="E60" s="1969"/>
      <c r="F60" s="1969"/>
      <c r="G60" s="1969"/>
      <c r="H60" s="1969"/>
      <c r="I60" s="1"/>
      <c r="J60" s="1"/>
      <c r="K60" s="818"/>
      <c r="L60" s="818"/>
      <c r="M60" s="818"/>
      <c r="N60" s="818"/>
      <c r="O60" s="818"/>
      <c r="P60" s="818"/>
      <c r="Q60" s="818"/>
      <c r="S60" s="798">
        <f>IF(D60&lt;&gt;"None",1,0)</f>
        <v>0</v>
      </c>
      <c r="T60" s="956">
        <f>COUNTIF(K60:Q60,"&lt;&gt;")</f>
        <v>0</v>
      </c>
      <c r="U60" s="74"/>
      <c r="V60" s="1235"/>
      <c r="W60" s="955"/>
      <c r="X60" s="955"/>
      <c r="Y60" s="955"/>
      <c r="Z60" s="955"/>
      <c r="AA60" s="955"/>
      <c r="AB60" s="955"/>
      <c r="AC60" s="955"/>
      <c r="AD60" s="955"/>
      <c r="AE60" s="955"/>
      <c r="AF60" s="955"/>
      <c r="AG60" s="955"/>
      <c r="AH60" s="955"/>
      <c r="AI60" s="955"/>
      <c r="AJ60" s="955"/>
      <c r="AK60" s="955"/>
      <c r="AL60" s="955"/>
      <c r="AM60" s="955"/>
      <c r="AN60" s="955"/>
      <c r="AO60" s="955"/>
      <c r="AP60" s="955"/>
    </row>
    <row r="61" spans="2:58" ht="13.5" customHeight="1">
      <c r="B61" s="15"/>
      <c r="D61" s="1969" t="str">
        <f>IF(Y44&gt;=2,(VLOOKUP(2,Y29:AJ43,4,FALSE)),"None")</f>
        <v>None</v>
      </c>
      <c r="E61" s="1969"/>
      <c r="F61" s="1969"/>
      <c r="G61" s="1969"/>
      <c r="H61" s="1969"/>
      <c r="I61" s="1"/>
      <c r="J61" s="1"/>
      <c r="K61" s="821"/>
      <c r="L61" s="821"/>
      <c r="M61" s="821"/>
      <c r="N61" s="821"/>
      <c r="O61" s="821"/>
      <c r="P61" s="821"/>
      <c r="Q61" s="821"/>
      <c r="S61" s="798">
        <f>IF(D61&lt;&gt;"None",1,0)</f>
        <v>0</v>
      </c>
      <c r="T61" s="956">
        <f>COUNTIF(K61:Q61,"&lt;&gt;")</f>
        <v>0</v>
      </c>
      <c r="U61" s="74"/>
      <c r="V61" s="1235"/>
      <c r="W61" s="955"/>
      <c r="X61" s="955"/>
      <c r="Y61" s="955"/>
      <c r="Z61" s="955"/>
      <c r="AA61" s="955"/>
      <c r="AB61" s="955"/>
      <c r="AC61" s="955"/>
      <c r="AD61" s="955"/>
      <c r="AE61" s="955"/>
      <c r="AF61" s="955"/>
      <c r="AG61" s="955"/>
      <c r="AH61" s="955"/>
      <c r="AI61" s="955"/>
      <c r="AJ61" s="955"/>
      <c r="AK61" s="955"/>
      <c r="AL61" s="955"/>
      <c r="AM61" s="955"/>
      <c r="AN61" s="955"/>
      <c r="AO61" s="955"/>
      <c r="AP61" s="955"/>
    </row>
    <row r="62" spans="2:58" ht="13.5" customHeight="1">
      <c r="C62" s="13"/>
      <c r="D62" s="1969" t="str">
        <f>IF(Y44&gt;=3,(VLOOKUP(3,Y29:AJ43,4,FALSE)),"None")</f>
        <v>None</v>
      </c>
      <c r="E62" s="1969"/>
      <c r="F62" s="1969"/>
      <c r="G62" s="1969"/>
      <c r="H62" s="1969"/>
      <c r="I62" s="1"/>
      <c r="J62" s="1"/>
      <c r="K62" s="821"/>
      <c r="L62" s="102"/>
      <c r="M62" s="102"/>
      <c r="N62" s="102"/>
      <c r="O62" s="102"/>
      <c r="P62" s="102"/>
      <c r="Q62" s="822"/>
      <c r="S62" s="798">
        <f>IF(D62&lt;&gt;"None",1,0)</f>
        <v>0</v>
      </c>
      <c r="T62" s="956">
        <f>COUNTIF(K62:Q62,"&lt;&gt;")</f>
        <v>0</v>
      </c>
      <c r="U62" s="74"/>
      <c r="V62" s="1235"/>
      <c r="W62" s="955"/>
      <c r="X62" s="955"/>
      <c r="AC62" s="955"/>
      <c r="AD62" s="955"/>
      <c r="AE62" s="955"/>
      <c r="AF62" s="955"/>
      <c r="AG62" s="955"/>
      <c r="AH62" s="955"/>
      <c r="AI62" s="955"/>
      <c r="AJ62" s="955"/>
      <c r="AK62" s="955"/>
      <c r="AL62" s="955"/>
      <c r="AM62" s="955"/>
      <c r="AN62" s="955"/>
      <c r="AO62" s="955"/>
      <c r="AP62" s="955"/>
    </row>
    <row r="63" spans="2:58" ht="13.5" customHeight="1">
      <c r="C63" s="13"/>
      <c r="D63" s="1969" t="str">
        <f>IF(Y44&gt;=4,(VLOOKUP(4,Y29:AJ43,4,FALSE)),"None")</f>
        <v>None</v>
      </c>
      <c r="E63" s="1969"/>
      <c r="F63" s="1969"/>
      <c r="G63" s="1969"/>
      <c r="H63" s="1969"/>
      <c r="I63" s="1"/>
      <c r="J63" s="1"/>
      <c r="K63" s="821"/>
      <c r="L63" s="102"/>
      <c r="M63" s="102"/>
      <c r="N63" s="102"/>
      <c r="O63" s="102"/>
      <c r="P63" s="102"/>
      <c r="Q63" s="822"/>
      <c r="S63" s="798">
        <f>IF(D63&lt;&gt;"None",1,0)</f>
        <v>0</v>
      </c>
      <c r="T63" s="956">
        <f>COUNTIF(K63:Q63,"&lt;&gt;")</f>
        <v>0</v>
      </c>
      <c r="U63" s="74"/>
      <c r="V63" s="1235"/>
      <c r="W63" s="955"/>
      <c r="X63" s="955"/>
      <c r="AC63" s="955"/>
      <c r="AD63" s="955"/>
      <c r="AE63" s="955"/>
      <c r="AF63" s="955"/>
      <c r="AG63" s="955"/>
      <c r="AH63" s="955"/>
      <c r="AI63" s="955"/>
      <c r="AJ63" s="955"/>
      <c r="AK63" s="955"/>
      <c r="AL63" s="955"/>
      <c r="AM63" s="955"/>
      <c r="AN63" s="955"/>
      <c r="AO63" s="955"/>
      <c r="AP63" s="955"/>
    </row>
    <row r="64" spans="2:58" ht="13.5" customHeight="1">
      <c r="C64" s="13"/>
      <c r="D64" s="1969" t="str">
        <f>IF(Y44&gt;=5,(VLOOKUP(5,Y29:AJ43,4,FALSE)),"None")</f>
        <v>None</v>
      </c>
      <c r="E64" s="1969"/>
      <c r="F64" s="1969"/>
      <c r="G64" s="1969"/>
      <c r="H64" s="1969"/>
      <c r="I64" s="1"/>
      <c r="J64" s="1"/>
      <c r="K64" s="823"/>
      <c r="L64" s="824"/>
      <c r="M64" s="824"/>
      <c r="N64" s="824"/>
      <c r="O64" s="824"/>
      <c r="P64" s="824"/>
      <c r="Q64" s="825"/>
      <c r="S64" s="798">
        <f>IF(D64&lt;&gt;"None",1,0)</f>
        <v>0</v>
      </c>
      <c r="T64" s="956">
        <f>COUNTIF(K64:Q64,"&lt;&gt;")</f>
        <v>0</v>
      </c>
      <c r="U64" s="74"/>
      <c r="Y64" s="379">
        <f t="shared" ref="Y64:AE64" si="37">SUM(K46:K50)</f>
        <v>0</v>
      </c>
      <c r="Z64" s="379">
        <f t="shared" si="37"/>
        <v>0</v>
      </c>
      <c r="AA64" s="379">
        <f t="shared" si="37"/>
        <v>0</v>
      </c>
      <c r="AB64" s="379">
        <f t="shared" si="37"/>
        <v>0</v>
      </c>
      <c r="AC64" s="379">
        <f t="shared" si="37"/>
        <v>0</v>
      </c>
      <c r="AD64" s="379">
        <f t="shared" si="37"/>
        <v>0</v>
      </c>
      <c r="AE64" s="379">
        <f t="shared" si="37"/>
        <v>0</v>
      </c>
      <c r="AF64" s="379"/>
      <c r="AG64" s="379"/>
      <c r="AJ64" s="10"/>
      <c r="AK64" s="10"/>
      <c r="AL64" s="955"/>
      <c r="AM64" s="955"/>
      <c r="AN64" s="955"/>
      <c r="AO64" s="955"/>
      <c r="AP64" s="955"/>
    </row>
    <row r="65" spans="3:45" ht="3.75" customHeight="1" thickBot="1">
      <c r="C65" s="13"/>
      <c r="U65" s="956"/>
      <c r="V65" s="956"/>
    </row>
    <row r="66" spans="3:45" ht="13.5" customHeight="1" thickTop="1" thickBot="1">
      <c r="C66" s="13"/>
      <c r="D66" s="1863" t="s">
        <v>56</v>
      </c>
      <c r="E66" s="1863"/>
      <c r="F66" s="1863"/>
      <c r="G66" s="1863"/>
      <c r="H66" s="1863"/>
      <c r="I66" s="1863"/>
      <c r="K66" s="744">
        <f t="shared" ref="K66:Q66" si="38">K43-SUM(K46:K50,K52:K56,K60:K64)</f>
        <v>0</v>
      </c>
      <c r="L66" s="745">
        <f t="shared" si="38"/>
        <v>0</v>
      </c>
      <c r="M66" s="745">
        <f t="shared" si="38"/>
        <v>0</v>
      </c>
      <c r="N66" s="745">
        <f t="shared" si="38"/>
        <v>0</v>
      </c>
      <c r="O66" s="745">
        <f t="shared" si="38"/>
        <v>0</v>
      </c>
      <c r="P66" s="745">
        <f t="shared" si="38"/>
        <v>0</v>
      </c>
      <c r="Q66" s="746">
        <f t="shared" si="38"/>
        <v>0</v>
      </c>
      <c r="S66" s="712">
        <f>SUM(S60:S65)</f>
        <v>0</v>
      </c>
      <c r="T66" s="956">
        <f>SUM(T60:T65)</f>
        <v>0</v>
      </c>
      <c r="U66" s="74"/>
      <c r="V66" s="74"/>
      <c r="W66" s="955"/>
      <c r="X66" s="955"/>
      <c r="Y66" s="10"/>
      <c r="Z66" s="10"/>
      <c r="AA66" s="10"/>
      <c r="AB66" s="10"/>
      <c r="AC66" s="10"/>
      <c r="AD66" s="10"/>
      <c r="AE66" s="10"/>
      <c r="AF66" s="10"/>
      <c r="AG66" s="10"/>
      <c r="AH66" s="10"/>
      <c r="AI66" s="10"/>
      <c r="AJ66" s="10"/>
      <c r="AK66" s="10"/>
      <c r="AL66" s="10"/>
      <c r="AM66" s="10"/>
      <c r="AN66" s="10"/>
      <c r="AO66" s="10"/>
      <c r="AP66" s="10"/>
      <c r="AQ66" s="172"/>
      <c r="AR66" s="172"/>
      <c r="AS66" s="172"/>
    </row>
    <row r="67" spans="3:45" ht="6" customHeight="1" thickTop="1" thickBot="1">
      <c r="C67" s="13"/>
      <c r="J67" s="13"/>
      <c r="K67" s="13"/>
      <c r="L67" s="13"/>
      <c r="M67" s="13"/>
      <c r="N67" s="13"/>
      <c r="O67" s="13"/>
      <c r="P67" s="13"/>
      <c r="Q67" s="13"/>
      <c r="T67" s="10"/>
      <c r="U67" s="74"/>
      <c r="V67" s="74"/>
      <c r="W67" s="955"/>
      <c r="X67" s="955"/>
      <c r="Y67" s="10"/>
      <c r="Z67" s="10"/>
      <c r="AA67" s="10"/>
      <c r="AB67" s="10"/>
      <c r="AC67" s="10"/>
      <c r="AD67" s="10"/>
      <c r="AE67" s="10"/>
      <c r="AF67" s="10"/>
      <c r="AG67" s="10"/>
      <c r="AH67" s="10"/>
      <c r="AI67" s="10"/>
      <c r="AJ67" s="10"/>
      <c r="AK67" s="10"/>
      <c r="AL67" s="10"/>
      <c r="AM67" s="10"/>
      <c r="AN67" s="10"/>
      <c r="AO67" s="10"/>
      <c r="AP67" s="10"/>
      <c r="AQ67" s="172"/>
      <c r="AR67" s="172"/>
      <c r="AS67" s="172"/>
    </row>
    <row r="68" spans="3:45" ht="13.5" customHeight="1" thickTop="1" thickBot="1">
      <c r="C68" s="13"/>
      <c r="D68" s="13"/>
      <c r="E68" s="1984" t="s">
        <v>890</v>
      </c>
      <c r="F68" s="1984"/>
      <c r="G68" s="1984"/>
      <c r="H68" s="1984"/>
      <c r="I68" s="1984"/>
      <c r="J68" s="13"/>
      <c r="K68" s="991" t="str">
        <f t="shared" ref="K68:Q68" si="39">IFERROR((K66+K37)/K24,"")</f>
        <v/>
      </c>
      <c r="L68" s="992" t="str">
        <f t="shared" si="39"/>
        <v/>
      </c>
      <c r="M68" s="992" t="str">
        <f t="shared" si="39"/>
        <v/>
      </c>
      <c r="N68" s="992" t="str">
        <f t="shared" si="39"/>
        <v/>
      </c>
      <c r="O68" s="992" t="str">
        <f t="shared" si="39"/>
        <v/>
      </c>
      <c r="P68" s="992" t="str">
        <f t="shared" si="39"/>
        <v/>
      </c>
      <c r="Q68" s="993" t="str">
        <f t="shared" si="39"/>
        <v/>
      </c>
      <c r="T68" s="10"/>
      <c r="U68" s="74"/>
      <c r="V68" s="74"/>
      <c r="W68" s="955"/>
      <c r="X68" s="955"/>
      <c r="Y68" s="10"/>
      <c r="Z68" s="185" t="s">
        <v>917</v>
      </c>
      <c r="AA68" s="10"/>
      <c r="AB68" s="10"/>
      <c r="AC68" s="10"/>
      <c r="AD68" s="10"/>
      <c r="AE68" s="10"/>
      <c r="AF68" s="10"/>
      <c r="AG68" s="10"/>
      <c r="AH68" s="10"/>
      <c r="AI68" s="10"/>
      <c r="AJ68" s="10"/>
      <c r="AK68" s="10"/>
      <c r="AL68" s="10"/>
      <c r="AM68" s="10"/>
      <c r="AN68" s="10"/>
      <c r="AO68" s="10"/>
      <c r="AP68" s="10"/>
      <c r="AQ68" s="172"/>
      <c r="AR68" s="172"/>
      <c r="AS68" s="172"/>
    </row>
    <row r="69" spans="3:45" ht="13.5" customHeight="1" thickTop="1">
      <c r="C69" s="13"/>
      <c r="D69" s="13"/>
      <c r="E69" s="13"/>
      <c r="F69" s="13"/>
      <c r="G69" s="13"/>
      <c r="H69" s="13"/>
      <c r="I69" s="13"/>
      <c r="J69" s="13"/>
      <c r="K69" s="1983" t="s">
        <v>71</v>
      </c>
      <c r="L69" s="1983"/>
      <c r="M69" s="1983"/>
      <c r="N69" s="1983"/>
      <c r="O69" s="1983"/>
      <c r="P69" s="13"/>
      <c r="Q69" s="13"/>
      <c r="T69" s="10"/>
      <c r="U69" s="74"/>
      <c r="V69" s="74"/>
      <c r="W69" s="955"/>
      <c r="X69" s="955"/>
      <c r="Y69" s="10"/>
      <c r="Z69" s="185" t="s">
        <v>918</v>
      </c>
      <c r="AA69" s="1260">
        <f>'A(2)-Uses Statement'!$G$66</f>
        <v>0</v>
      </c>
      <c r="AB69" s="10">
        <f>IF(AA69&gt;0,1,0)</f>
        <v>0</v>
      </c>
      <c r="AC69" s="10"/>
      <c r="AD69" s="10"/>
      <c r="AE69" s="10"/>
      <c r="AF69" s="10"/>
      <c r="AG69" s="10"/>
      <c r="AH69" s="10"/>
      <c r="AI69" s="10"/>
      <c r="AJ69" s="10"/>
      <c r="AK69" s="10"/>
      <c r="AL69" s="10"/>
      <c r="AM69" s="10"/>
      <c r="AN69" s="10"/>
      <c r="AO69" s="10"/>
      <c r="AP69" s="10"/>
      <c r="AQ69" s="172"/>
      <c r="AR69" s="172"/>
      <c r="AS69" s="172"/>
    </row>
    <row r="70" spans="3:45" ht="13.5" customHeight="1">
      <c r="C70" s="13"/>
      <c r="J70" s="67"/>
      <c r="T70" s="10"/>
      <c r="U70" s="74"/>
      <c r="V70" s="74"/>
      <c r="W70" s="955"/>
      <c r="X70" s="955"/>
      <c r="Y70" s="10"/>
      <c r="Z70" s="10"/>
      <c r="AA70" s="10"/>
      <c r="AB70" s="10"/>
      <c r="AC70" s="10"/>
      <c r="AD70" s="10"/>
      <c r="AE70" s="10"/>
      <c r="AF70" s="10"/>
      <c r="AG70" s="10"/>
      <c r="AH70" s="10"/>
      <c r="AI70" s="10"/>
      <c r="AJ70" s="10"/>
      <c r="AK70" s="10"/>
      <c r="AL70" s="10"/>
      <c r="AM70" s="10"/>
      <c r="AN70" s="10"/>
      <c r="AO70" s="10"/>
      <c r="AP70" s="10"/>
      <c r="AQ70" s="172"/>
      <c r="AR70" s="172"/>
      <c r="AS70" s="172"/>
    </row>
    <row r="71" spans="3:45" ht="13.5" customHeight="1">
      <c r="C71" s="13"/>
      <c r="D71" s="10"/>
      <c r="E71" s="10"/>
      <c r="F71" s="10"/>
      <c r="G71" s="10"/>
      <c r="H71" s="10"/>
      <c r="I71" s="10"/>
      <c r="J71" s="10"/>
      <c r="K71" s="40"/>
      <c r="L71" s="40"/>
      <c r="M71" s="40"/>
      <c r="N71" s="40"/>
      <c r="O71" s="40"/>
      <c r="P71" s="10"/>
      <c r="Q71" s="10"/>
      <c r="T71" s="10"/>
      <c r="U71" s="74"/>
      <c r="V71" s="74"/>
      <c r="W71" s="955"/>
      <c r="X71" s="955"/>
      <c r="Y71" s="10"/>
      <c r="Z71" s="10"/>
      <c r="AA71" s="10"/>
      <c r="AB71" s="10"/>
      <c r="AC71" s="10"/>
      <c r="AD71" s="10"/>
      <c r="AE71" s="10"/>
      <c r="AF71" s="10"/>
      <c r="AG71" s="10"/>
      <c r="AH71" s="10"/>
      <c r="AI71" s="10"/>
      <c r="AJ71" s="10"/>
      <c r="AK71" s="10"/>
      <c r="AL71" s="10"/>
      <c r="AM71" s="10"/>
      <c r="AN71" s="10"/>
      <c r="AO71" s="10"/>
      <c r="AP71" s="10"/>
      <c r="AQ71" s="172"/>
      <c r="AR71" s="172"/>
      <c r="AS71" s="172"/>
    </row>
    <row r="72" spans="3:45" ht="11.25" customHeight="1">
      <c r="C72" s="13"/>
      <c r="D72" s="10"/>
      <c r="J72" s="10"/>
      <c r="T72" s="10"/>
      <c r="U72" s="74"/>
      <c r="V72" s="74"/>
      <c r="W72" s="955"/>
      <c r="X72" s="955"/>
      <c r="Y72" s="10"/>
      <c r="Z72" s="10"/>
      <c r="AA72" s="10"/>
      <c r="AB72" s="10"/>
      <c r="AC72" s="10"/>
      <c r="AD72" s="10"/>
      <c r="AE72" s="10"/>
      <c r="AF72" s="10"/>
      <c r="AG72" s="10"/>
      <c r="AH72" s="10"/>
      <c r="AI72" s="10"/>
      <c r="AJ72" s="10"/>
      <c r="AK72" s="10"/>
      <c r="AL72" s="10"/>
      <c r="AM72" s="10"/>
      <c r="AN72" s="10"/>
      <c r="AO72" s="10"/>
      <c r="AP72" s="10"/>
      <c r="AQ72" s="172"/>
      <c r="AR72" s="172"/>
      <c r="AS72" s="172"/>
    </row>
    <row r="73" spans="3:45" ht="11.25" customHeight="1">
      <c r="C73" s="13"/>
      <c r="D73" s="13"/>
      <c r="E73" s="13"/>
      <c r="F73" s="13"/>
      <c r="G73" s="13"/>
      <c r="H73" s="13"/>
      <c r="I73" s="13"/>
      <c r="J73" s="13"/>
      <c r="K73" s="16"/>
      <c r="L73" s="16"/>
      <c r="M73" s="16"/>
      <c r="N73" s="16"/>
      <c r="O73" s="16"/>
      <c r="P73" s="16"/>
      <c r="Q73" s="16"/>
      <c r="T73" s="10"/>
      <c r="U73" s="74"/>
      <c r="V73" s="74"/>
      <c r="W73" s="10"/>
      <c r="X73" s="376"/>
      <c r="Y73" s="10"/>
      <c r="Z73" s="10"/>
      <c r="AA73" s="10"/>
      <c r="AB73" s="10"/>
      <c r="AC73" s="10"/>
      <c r="AD73" s="10"/>
      <c r="AE73" s="10"/>
      <c r="AF73" s="10"/>
      <c r="AG73" s="10"/>
      <c r="AH73" s="10"/>
      <c r="AI73" s="10"/>
      <c r="AJ73" s="10"/>
      <c r="AK73" s="10"/>
      <c r="AL73" s="10"/>
      <c r="AM73" s="10"/>
      <c r="AN73" s="10"/>
      <c r="AO73" s="10"/>
      <c r="AP73" s="10"/>
      <c r="AQ73" s="172"/>
      <c r="AR73" s="172"/>
      <c r="AS73" s="172"/>
    </row>
    <row r="74" spans="3:45" ht="11.25" customHeight="1">
      <c r="C74" s="13"/>
      <c r="D74" s="13"/>
      <c r="E74" s="13"/>
      <c r="F74" s="13"/>
      <c r="G74" s="13"/>
      <c r="H74" s="13"/>
      <c r="I74" s="13"/>
      <c r="J74" s="13"/>
      <c r="P74" s="13"/>
      <c r="Q74" s="13"/>
      <c r="T74" s="10"/>
      <c r="U74" s="74"/>
      <c r="V74" s="74"/>
      <c r="W74" s="10"/>
      <c r="X74" s="376"/>
      <c r="Y74" s="10"/>
      <c r="Z74" s="10"/>
      <c r="AA74" s="10"/>
      <c r="AB74" s="10"/>
      <c r="AC74" s="10"/>
      <c r="AD74" s="10"/>
      <c r="AE74" s="10"/>
      <c r="AF74" s="10"/>
      <c r="AG74" s="10"/>
      <c r="AH74" s="10"/>
      <c r="AI74" s="10"/>
      <c r="AJ74" s="10"/>
      <c r="AK74" s="10"/>
      <c r="AL74" s="10"/>
      <c r="AM74" s="10"/>
      <c r="AN74" s="10"/>
      <c r="AO74" s="10"/>
      <c r="AP74" s="10"/>
      <c r="AQ74" s="172"/>
      <c r="AR74" s="172"/>
      <c r="AS74" s="172"/>
    </row>
    <row r="75" spans="3:45" ht="11.25" customHeight="1">
      <c r="C75" s="13"/>
      <c r="D75" s="13"/>
      <c r="E75" s="13"/>
      <c r="F75" s="13"/>
      <c r="G75" s="13"/>
      <c r="H75" s="13"/>
      <c r="I75" s="13"/>
      <c r="J75" s="13"/>
      <c r="K75" s="13"/>
      <c r="L75" s="13"/>
      <c r="M75" s="13"/>
      <c r="N75" s="13"/>
      <c r="O75" s="13"/>
      <c r="P75" s="13"/>
      <c r="Q75" s="13"/>
      <c r="T75" s="10"/>
      <c r="U75" s="74"/>
      <c r="V75" s="74"/>
      <c r="W75" s="10"/>
      <c r="X75" s="376"/>
      <c r="Y75" s="10"/>
      <c r="Z75" s="10"/>
      <c r="AA75" s="10"/>
      <c r="AB75" s="10"/>
      <c r="AC75" s="10"/>
      <c r="AD75" s="10"/>
      <c r="AE75" s="10"/>
      <c r="AF75" s="10"/>
      <c r="AG75" s="10"/>
      <c r="AH75" s="10"/>
      <c r="AI75" s="10"/>
      <c r="AJ75" s="10"/>
      <c r="AK75" s="10"/>
      <c r="AL75" s="10"/>
      <c r="AM75" s="10"/>
      <c r="AN75" s="10"/>
      <c r="AO75" s="10"/>
      <c r="AP75" s="10"/>
      <c r="AQ75" s="172"/>
      <c r="AR75" s="172"/>
      <c r="AS75" s="172"/>
    </row>
    <row r="76" spans="3:45" ht="11.25" customHeight="1">
      <c r="C76" s="13"/>
      <c r="D76" s="13"/>
      <c r="E76" s="13"/>
      <c r="F76" s="13"/>
      <c r="G76" s="13"/>
      <c r="H76" s="13"/>
      <c r="I76" s="13"/>
      <c r="J76" s="13"/>
      <c r="K76" s="13"/>
      <c r="L76" s="13"/>
      <c r="M76" s="13"/>
      <c r="N76" s="13"/>
      <c r="O76" s="13"/>
      <c r="P76" s="13"/>
      <c r="Q76" s="13"/>
      <c r="T76" s="10"/>
      <c r="U76" s="74"/>
      <c r="V76" s="74"/>
      <c r="W76" s="10"/>
      <c r="X76" s="376"/>
      <c r="Y76" s="10"/>
      <c r="Z76" s="10"/>
      <c r="AA76" s="10"/>
      <c r="AB76" s="10"/>
      <c r="AC76" s="10"/>
      <c r="AD76" s="10"/>
      <c r="AE76" s="10"/>
      <c r="AF76" s="10"/>
      <c r="AG76" s="10"/>
      <c r="AH76" s="10"/>
      <c r="AI76" s="10"/>
      <c r="AJ76" s="10"/>
      <c r="AK76" s="10"/>
      <c r="AL76" s="10"/>
      <c r="AM76" s="10"/>
      <c r="AN76" s="10"/>
      <c r="AO76" s="10"/>
      <c r="AP76" s="10"/>
      <c r="AQ76" s="172"/>
      <c r="AR76" s="172"/>
      <c r="AS76" s="172"/>
    </row>
    <row r="77" spans="3:45" ht="11.25" customHeight="1">
      <c r="C77" s="13"/>
      <c r="D77" s="13"/>
      <c r="E77" s="13"/>
      <c r="F77" s="13"/>
      <c r="G77" s="13"/>
      <c r="H77" s="13"/>
      <c r="I77" s="13"/>
      <c r="J77" s="13"/>
      <c r="K77" s="13"/>
      <c r="L77" s="13"/>
      <c r="M77" s="13"/>
      <c r="N77" s="13"/>
      <c r="O77" s="13"/>
      <c r="P77" s="13"/>
      <c r="Q77" s="13"/>
      <c r="T77" s="10"/>
      <c r="U77" s="74"/>
      <c r="V77" s="74"/>
      <c r="W77" s="10"/>
      <c r="X77" s="376"/>
      <c r="Y77" s="10"/>
      <c r="Z77" s="10"/>
      <c r="AA77" s="10"/>
      <c r="AB77" s="10"/>
      <c r="AC77" s="10"/>
      <c r="AD77" s="10"/>
      <c r="AE77" s="10"/>
      <c r="AF77" s="10"/>
      <c r="AG77" s="10"/>
      <c r="AH77" s="10"/>
      <c r="AI77" s="10"/>
      <c r="AJ77" s="10"/>
      <c r="AK77" s="10"/>
      <c r="AL77" s="10"/>
      <c r="AM77" s="10"/>
      <c r="AN77" s="10"/>
      <c r="AO77" s="10"/>
      <c r="AP77" s="10"/>
      <c r="AQ77" s="172"/>
      <c r="AR77" s="172"/>
      <c r="AS77" s="172"/>
    </row>
    <row r="78" spans="3:45" ht="11.25" customHeight="1">
      <c r="C78" s="13"/>
      <c r="D78" s="13"/>
      <c r="E78" s="13"/>
      <c r="F78" s="13"/>
      <c r="G78" s="13"/>
      <c r="H78" s="13"/>
      <c r="I78" s="13"/>
      <c r="J78" s="13"/>
      <c r="K78" s="13"/>
      <c r="L78" s="13"/>
      <c r="M78" s="13"/>
      <c r="N78" s="13"/>
      <c r="O78" s="13"/>
      <c r="P78" s="13"/>
      <c r="Q78" s="13"/>
      <c r="T78" s="10"/>
      <c r="U78" s="74"/>
      <c r="V78" s="74"/>
      <c r="W78" s="10"/>
      <c r="X78" s="376"/>
      <c r="Y78" s="10"/>
      <c r="Z78" s="10"/>
      <c r="AA78" s="10"/>
      <c r="AB78" s="10"/>
      <c r="AC78" s="10"/>
      <c r="AD78" s="10"/>
      <c r="AE78" s="10"/>
      <c r="AF78" s="10"/>
      <c r="AG78" s="10"/>
      <c r="AH78" s="10"/>
      <c r="AI78" s="10"/>
      <c r="AJ78" s="10"/>
      <c r="AK78" s="10"/>
      <c r="AL78" s="10"/>
      <c r="AM78" s="10"/>
      <c r="AN78" s="10"/>
      <c r="AO78" s="10"/>
      <c r="AP78" s="10"/>
      <c r="AQ78" s="172"/>
      <c r="AR78" s="172"/>
      <c r="AS78" s="172"/>
    </row>
    <row r="79" spans="3:45" ht="11.25" customHeight="1">
      <c r="C79" s="13"/>
      <c r="D79" s="13"/>
      <c r="E79" s="13"/>
      <c r="F79" s="13"/>
      <c r="G79" s="13"/>
      <c r="H79" s="13"/>
      <c r="I79" s="13"/>
      <c r="J79" s="13"/>
      <c r="K79" s="13"/>
      <c r="L79" s="13"/>
      <c r="M79" s="13"/>
      <c r="N79" s="13"/>
      <c r="O79" s="13"/>
      <c r="P79" s="13"/>
      <c r="Q79" s="13"/>
      <c r="T79" s="10"/>
      <c r="U79" s="74"/>
      <c r="V79" s="74"/>
      <c r="W79" s="10"/>
      <c r="X79" s="376"/>
      <c r="Y79" s="10"/>
      <c r="Z79" s="10"/>
      <c r="AA79" s="10"/>
      <c r="AB79" s="10"/>
      <c r="AC79" s="10"/>
      <c r="AD79" s="10"/>
      <c r="AE79" s="10"/>
      <c r="AF79" s="10"/>
      <c r="AG79" s="10"/>
      <c r="AH79" s="10"/>
      <c r="AI79" s="10"/>
      <c r="AJ79" s="10"/>
      <c r="AK79" s="10"/>
      <c r="AL79" s="10"/>
      <c r="AM79" s="10"/>
      <c r="AN79" s="10"/>
      <c r="AO79" s="10"/>
      <c r="AP79" s="10"/>
      <c r="AQ79" s="172"/>
      <c r="AR79" s="172"/>
      <c r="AS79" s="172"/>
    </row>
    <row r="80" spans="3:45" ht="11.25" customHeight="1">
      <c r="C80" s="13"/>
      <c r="D80" s="13"/>
      <c r="E80" s="13"/>
      <c r="F80" s="13"/>
      <c r="G80" s="13"/>
      <c r="H80" s="13"/>
      <c r="I80" s="13"/>
      <c r="J80" s="13"/>
      <c r="K80" s="13"/>
      <c r="L80" s="13"/>
      <c r="M80" s="13"/>
      <c r="N80" s="13"/>
      <c r="O80" s="13"/>
      <c r="P80" s="13"/>
      <c r="Q80" s="13"/>
      <c r="T80" s="10"/>
      <c r="U80" s="74"/>
      <c r="V80" s="74"/>
      <c r="W80" s="10"/>
      <c r="X80" s="376"/>
      <c r="Y80" s="10"/>
      <c r="Z80" s="10"/>
      <c r="AA80" s="10"/>
      <c r="AB80" s="10"/>
      <c r="AC80" s="10"/>
      <c r="AD80" s="10"/>
      <c r="AE80" s="10"/>
      <c r="AF80" s="10"/>
      <c r="AG80" s="10"/>
      <c r="AH80" s="10"/>
      <c r="AI80" s="10"/>
      <c r="AJ80" s="10"/>
      <c r="AK80" s="10"/>
      <c r="AL80" s="10"/>
      <c r="AM80" s="10"/>
      <c r="AN80" s="10"/>
      <c r="AO80" s="10"/>
      <c r="AP80" s="10"/>
      <c r="AQ80" s="172"/>
      <c r="AR80" s="172"/>
      <c r="AS80" s="172"/>
    </row>
    <row r="81" spans="3:45" ht="11.25" customHeight="1">
      <c r="C81" s="13"/>
      <c r="D81" s="13"/>
      <c r="E81" s="13"/>
      <c r="F81" s="13"/>
      <c r="G81" s="13"/>
      <c r="H81" s="13"/>
      <c r="I81" s="13"/>
      <c r="J81" s="13"/>
      <c r="K81" s="13"/>
      <c r="L81" s="13"/>
      <c r="M81" s="13"/>
      <c r="N81" s="13"/>
      <c r="O81" s="13"/>
      <c r="P81" s="13"/>
      <c r="Q81" s="13"/>
      <c r="T81" s="10"/>
      <c r="U81" s="74"/>
      <c r="V81" s="74"/>
      <c r="W81" s="10"/>
      <c r="X81" s="10"/>
      <c r="Y81" s="74"/>
      <c r="Z81" s="74"/>
      <c r="AA81" s="74"/>
      <c r="AB81" s="74"/>
      <c r="AC81" s="10"/>
      <c r="AD81" s="10"/>
      <c r="AE81" s="10"/>
      <c r="AF81" s="10"/>
      <c r="AG81" s="10"/>
      <c r="AH81" s="10"/>
      <c r="AI81" s="10"/>
      <c r="AJ81" s="10"/>
      <c r="AK81" s="10"/>
      <c r="AL81" s="10"/>
      <c r="AM81" s="10"/>
      <c r="AN81" s="10"/>
      <c r="AO81" s="10"/>
      <c r="AP81" s="10"/>
      <c r="AQ81" s="172"/>
      <c r="AR81" s="172"/>
      <c r="AS81" s="172"/>
    </row>
    <row r="82" spans="3:45" ht="13.5" customHeight="1">
      <c r="C82" s="13"/>
      <c r="D82" s="13"/>
      <c r="E82" s="13"/>
      <c r="F82" s="13"/>
      <c r="G82" s="13"/>
      <c r="H82" s="13"/>
      <c r="I82" s="13"/>
      <c r="J82" s="13"/>
      <c r="K82" s="13"/>
      <c r="L82" s="13"/>
      <c r="M82" s="13"/>
      <c r="N82" s="13"/>
      <c r="O82" s="13"/>
      <c r="P82" s="13"/>
      <c r="Q82" s="13"/>
      <c r="T82" s="10"/>
      <c r="U82" s="74"/>
      <c r="V82" s="74"/>
      <c r="W82" s="74"/>
      <c r="X82" s="74"/>
      <c r="Y82" s="10"/>
      <c r="Z82" s="10"/>
      <c r="AA82" s="10"/>
      <c r="AB82" s="10"/>
      <c r="AC82" s="10"/>
      <c r="AD82" s="10"/>
      <c r="AE82" s="10"/>
      <c r="AF82" s="10"/>
      <c r="AG82" s="10"/>
      <c r="AH82" s="10"/>
      <c r="AI82" s="10"/>
      <c r="AJ82" s="10"/>
      <c r="AK82" s="10"/>
      <c r="AL82" s="10"/>
      <c r="AM82" s="10"/>
      <c r="AN82" s="10"/>
      <c r="AO82" s="10"/>
      <c r="AP82" s="10"/>
      <c r="AQ82" s="172"/>
      <c r="AR82" s="172"/>
      <c r="AS82" s="172"/>
    </row>
    <row r="83" spans="3:45" ht="21" customHeight="1">
      <c r="C83" s="13"/>
      <c r="D83" s="13"/>
      <c r="E83" s="13"/>
      <c r="F83" s="13"/>
      <c r="G83" s="13"/>
      <c r="H83" s="13"/>
      <c r="I83" s="13"/>
      <c r="J83" s="13"/>
      <c r="K83" s="13"/>
      <c r="L83" s="13"/>
      <c r="M83" s="13"/>
      <c r="N83" s="13"/>
      <c r="O83" s="13"/>
      <c r="P83" s="13"/>
      <c r="Q83" s="13"/>
      <c r="T83" s="10"/>
      <c r="U83" s="74"/>
      <c r="V83" s="74"/>
      <c r="W83" s="10"/>
      <c r="X83" s="10"/>
      <c r="Y83" s="10"/>
      <c r="Z83" s="10"/>
      <c r="AA83" s="10"/>
      <c r="AB83" s="10"/>
      <c r="AC83" s="10"/>
      <c r="AD83" s="10"/>
      <c r="AE83" s="10"/>
      <c r="AF83" s="10"/>
      <c r="AG83" s="10"/>
      <c r="AH83" s="10"/>
      <c r="AI83" s="10"/>
      <c r="AJ83" s="10"/>
      <c r="AK83" s="10"/>
      <c r="AL83" s="10"/>
      <c r="AM83" s="10"/>
      <c r="AN83" s="10"/>
      <c r="AO83" s="10"/>
      <c r="AP83" s="10"/>
      <c r="AQ83" s="172"/>
      <c r="AR83" s="172"/>
      <c r="AS83" s="172"/>
    </row>
    <row r="84" spans="3:45" ht="13.5" customHeight="1">
      <c r="C84" s="13"/>
      <c r="D84" s="13"/>
      <c r="E84" s="13"/>
      <c r="F84" s="13"/>
      <c r="G84" s="13"/>
      <c r="H84" s="13"/>
      <c r="I84" s="13"/>
      <c r="J84" s="13"/>
      <c r="K84" s="13"/>
      <c r="L84" s="13"/>
      <c r="M84" s="13"/>
      <c r="N84" s="13"/>
      <c r="O84" s="13"/>
      <c r="P84" s="13"/>
      <c r="Q84" s="13"/>
      <c r="T84" s="10"/>
      <c r="U84" s="74"/>
      <c r="V84" s="74"/>
      <c r="W84" s="10"/>
      <c r="X84" s="10"/>
      <c r="Y84" s="10"/>
      <c r="Z84" s="10"/>
      <c r="AA84" s="10"/>
      <c r="AB84" s="10"/>
      <c r="AC84" s="10"/>
      <c r="AD84" s="10"/>
      <c r="AE84" s="10"/>
      <c r="AF84" s="10"/>
      <c r="AG84" s="10"/>
      <c r="AH84" s="10"/>
      <c r="AI84" s="10"/>
      <c r="AJ84" s="10"/>
      <c r="AK84" s="10"/>
      <c r="AL84" s="10"/>
      <c r="AM84" s="10"/>
      <c r="AN84" s="10"/>
      <c r="AO84" s="10"/>
      <c r="AP84" s="10"/>
      <c r="AQ84" s="172"/>
      <c r="AR84" s="172"/>
      <c r="AS84" s="172"/>
    </row>
    <row r="85" spans="3:45" ht="13.5" customHeight="1">
      <c r="C85" s="13"/>
      <c r="D85" s="13"/>
      <c r="E85" s="13"/>
      <c r="F85" s="13"/>
      <c r="G85" s="13"/>
      <c r="H85" s="13"/>
      <c r="I85" s="13"/>
      <c r="J85" s="13"/>
      <c r="K85" s="13"/>
      <c r="L85" s="13"/>
      <c r="M85" s="13"/>
      <c r="N85" s="13"/>
      <c r="O85" s="13"/>
      <c r="P85" s="13"/>
      <c r="Q85" s="13"/>
      <c r="T85" s="10"/>
      <c r="U85" s="74"/>
      <c r="V85" s="74"/>
      <c r="W85" s="10"/>
      <c r="X85" s="10"/>
      <c r="Y85" s="10"/>
      <c r="Z85" s="10"/>
      <c r="AA85" s="10"/>
      <c r="AB85" s="10"/>
      <c r="AC85" s="10"/>
      <c r="AD85" s="10"/>
      <c r="AE85" s="10"/>
      <c r="AF85" s="10"/>
      <c r="AG85" s="10"/>
      <c r="AH85" s="10"/>
      <c r="AI85" s="10"/>
      <c r="AJ85" s="10"/>
      <c r="AK85" s="10"/>
      <c r="AL85" s="10"/>
      <c r="AM85" s="10"/>
      <c r="AN85" s="10"/>
      <c r="AO85" s="10"/>
      <c r="AP85" s="10"/>
      <c r="AQ85" s="172"/>
      <c r="AR85" s="172"/>
      <c r="AS85" s="172"/>
    </row>
    <row r="86" spans="3:45" ht="11.25" customHeight="1">
      <c r="C86" s="13"/>
      <c r="D86" s="13"/>
      <c r="E86" s="13"/>
      <c r="F86" s="13"/>
      <c r="G86" s="13"/>
      <c r="H86" s="13"/>
      <c r="I86" s="13"/>
      <c r="J86" s="13"/>
      <c r="K86" s="13"/>
      <c r="L86" s="13"/>
      <c r="M86" s="13"/>
      <c r="N86" s="13"/>
      <c r="O86" s="13"/>
      <c r="P86" s="13"/>
      <c r="Q86" s="13"/>
      <c r="T86" s="10"/>
      <c r="U86" s="74"/>
      <c r="V86" s="74"/>
      <c r="W86" s="10"/>
      <c r="X86" s="10"/>
      <c r="Y86" s="10"/>
      <c r="Z86" s="10"/>
      <c r="AA86" s="10"/>
      <c r="AB86" s="10"/>
      <c r="AC86" s="10"/>
      <c r="AD86" s="10"/>
      <c r="AE86" s="10"/>
      <c r="AF86" s="10"/>
      <c r="AG86" s="10"/>
      <c r="AH86" s="10"/>
      <c r="AI86" s="10"/>
      <c r="AJ86" s="10"/>
      <c r="AK86" s="10"/>
      <c r="AL86" s="10"/>
      <c r="AM86" s="10"/>
      <c r="AN86" s="10"/>
      <c r="AO86" s="10"/>
      <c r="AP86" s="10"/>
      <c r="AQ86" s="172"/>
      <c r="AR86" s="172"/>
      <c r="AS86" s="172"/>
    </row>
    <row r="87" spans="3:45" ht="11.25" customHeight="1">
      <c r="C87" s="13"/>
      <c r="D87" s="13"/>
      <c r="E87" s="13"/>
      <c r="F87" s="13"/>
      <c r="G87" s="13"/>
      <c r="H87" s="13"/>
      <c r="I87" s="13"/>
      <c r="J87" s="13"/>
      <c r="K87" s="13"/>
      <c r="L87" s="13"/>
      <c r="M87" s="13"/>
      <c r="N87" s="13"/>
      <c r="O87" s="13"/>
      <c r="P87" s="13"/>
      <c r="Q87" s="13"/>
      <c r="T87" s="10"/>
      <c r="U87" s="74"/>
      <c r="V87" s="74"/>
      <c r="W87" s="10"/>
      <c r="X87" s="10"/>
      <c r="Y87" s="10"/>
      <c r="Z87" s="10"/>
      <c r="AA87" s="10"/>
      <c r="AB87" s="10"/>
      <c r="AC87" s="10"/>
      <c r="AD87" s="10"/>
      <c r="AE87" s="10"/>
      <c r="AF87" s="10"/>
      <c r="AG87" s="10"/>
      <c r="AH87" s="10"/>
      <c r="AI87" s="10"/>
      <c r="AJ87" s="10"/>
      <c r="AK87" s="10"/>
      <c r="AL87" s="10"/>
      <c r="AM87" s="10"/>
      <c r="AN87" s="10"/>
      <c r="AO87" s="10"/>
      <c r="AP87" s="10"/>
      <c r="AQ87" s="172"/>
      <c r="AR87" s="172"/>
      <c r="AS87" s="172"/>
    </row>
    <row r="88" spans="3:45" ht="11.25" customHeight="1">
      <c r="C88" s="13"/>
      <c r="D88" s="13"/>
      <c r="E88" s="13"/>
      <c r="F88" s="13"/>
      <c r="G88" s="13"/>
      <c r="H88" s="13"/>
      <c r="I88" s="13"/>
      <c r="J88" s="13"/>
      <c r="K88" s="13"/>
      <c r="L88" s="13"/>
      <c r="M88" s="13"/>
      <c r="N88" s="13"/>
      <c r="O88" s="13"/>
      <c r="P88" s="13"/>
      <c r="Q88" s="13"/>
      <c r="T88" s="10"/>
      <c r="U88" s="74"/>
      <c r="V88" s="74"/>
      <c r="W88" s="10"/>
      <c r="X88" s="10"/>
      <c r="Y88" s="10"/>
      <c r="Z88" s="10"/>
      <c r="AA88" s="10"/>
      <c r="AB88" s="10"/>
      <c r="AC88" s="10"/>
      <c r="AD88" s="10"/>
      <c r="AE88" s="10"/>
      <c r="AF88" s="10"/>
      <c r="AG88" s="10"/>
      <c r="AH88" s="10"/>
      <c r="AI88" s="10"/>
      <c r="AJ88" s="10"/>
      <c r="AK88" s="10"/>
      <c r="AL88" s="10"/>
      <c r="AM88" s="10"/>
      <c r="AN88" s="10"/>
      <c r="AO88" s="10"/>
      <c r="AP88" s="10"/>
      <c r="AQ88" s="172"/>
      <c r="AR88" s="172"/>
      <c r="AS88" s="172"/>
    </row>
    <row r="89" spans="3:45" ht="11.25" customHeight="1">
      <c r="C89" s="13"/>
      <c r="D89" s="13"/>
      <c r="E89" s="13"/>
      <c r="F89" s="13"/>
      <c r="G89" s="13"/>
      <c r="H89" s="13"/>
      <c r="I89" s="13"/>
      <c r="J89" s="13"/>
      <c r="K89" s="13"/>
      <c r="L89" s="13"/>
      <c r="M89" s="13"/>
      <c r="N89" s="13"/>
      <c r="O89" s="13"/>
      <c r="P89" s="13"/>
      <c r="Q89" s="13"/>
      <c r="T89" s="10"/>
      <c r="U89" s="74"/>
      <c r="V89" s="74"/>
      <c r="W89" s="10"/>
      <c r="X89" s="10"/>
      <c r="Y89" s="10"/>
      <c r="Z89" s="10"/>
      <c r="AA89" s="10"/>
      <c r="AB89" s="10"/>
      <c r="AC89" s="10"/>
      <c r="AD89" s="10"/>
      <c r="AE89" s="10"/>
      <c r="AF89" s="10"/>
      <c r="AG89" s="10"/>
      <c r="AH89" s="10"/>
      <c r="AI89" s="10"/>
      <c r="AJ89" s="10"/>
      <c r="AK89" s="10"/>
      <c r="AL89" s="10"/>
      <c r="AM89" s="10"/>
      <c r="AN89" s="10"/>
      <c r="AO89" s="10"/>
      <c r="AP89" s="10"/>
      <c r="AQ89" s="172"/>
      <c r="AR89" s="172"/>
      <c r="AS89" s="172"/>
    </row>
    <row r="90" spans="3:45" ht="11.25" customHeight="1">
      <c r="C90" s="13"/>
      <c r="D90" s="13"/>
      <c r="E90" s="13"/>
      <c r="F90" s="13"/>
      <c r="G90" s="13"/>
      <c r="H90" s="13"/>
      <c r="I90" s="13"/>
      <c r="J90" s="13"/>
      <c r="K90" s="13"/>
      <c r="L90" s="13"/>
      <c r="M90" s="13"/>
      <c r="N90" s="13"/>
      <c r="O90" s="13"/>
      <c r="P90" s="13"/>
      <c r="Q90" s="13"/>
      <c r="T90" s="10"/>
      <c r="U90" s="74"/>
      <c r="V90" s="74"/>
      <c r="W90" s="10"/>
      <c r="X90" s="10"/>
      <c r="Y90" s="10"/>
      <c r="Z90" s="10"/>
      <c r="AA90" s="10"/>
      <c r="AB90" s="10"/>
      <c r="AC90" s="10"/>
      <c r="AD90" s="10"/>
      <c r="AE90" s="10"/>
      <c r="AF90" s="10"/>
      <c r="AG90" s="10"/>
      <c r="AH90" s="10"/>
      <c r="AI90" s="10"/>
      <c r="AJ90" s="10"/>
      <c r="AK90" s="10"/>
      <c r="AL90" s="10"/>
      <c r="AM90" s="10"/>
      <c r="AN90" s="10"/>
      <c r="AO90" s="10"/>
      <c r="AP90" s="10"/>
      <c r="AQ90" s="172"/>
      <c r="AR90" s="172"/>
      <c r="AS90" s="172"/>
    </row>
    <row r="91" spans="3:45" ht="11.25" customHeight="1">
      <c r="C91" s="13"/>
      <c r="D91" s="13"/>
      <c r="E91" s="13"/>
      <c r="F91" s="13"/>
      <c r="G91" s="13"/>
      <c r="H91" s="13"/>
      <c r="I91" s="13"/>
      <c r="J91" s="13"/>
      <c r="K91" s="13"/>
      <c r="L91" s="13"/>
      <c r="M91" s="13"/>
      <c r="N91" s="13"/>
      <c r="O91" s="13"/>
      <c r="P91" s="13"/>
      <c r="Q91" s="13"/>
      <c r="T91" s="10"/>
      <c r="U91" s="74"/>
      <c r="V91" s="74"/>
      <c r="W91" s="10"/>
      <c r="X91" s="10"/>
      <c r="Y91" s="10"/>
      <c r="Z91" s="10"/>
      <c r="AA91" s="10"/>
      <c r="AB91" s="10"/>
      <c r="AC91" s="10"/>
      <c r="AD91" s="10"/>
      <c r="AE91" s="10"/>
      <c r="AF91" s="10"/>
      <c r="AG91" s="10"/>
      <c r="AH91" s="10"/>
      <c r="AI91" s="10"/>
      <c r="AJ91" s="10"/>
      <c r="AK91" s="10"/>
      <c r="AL91" s="10"/>
      <c r="AM91" s="10"/>
      <c r="AN91" s="10"/>
      <c r="AO91" s="10"/>
      <c r="AP91" s="10"/>
      <c r="AQ91" s="172"/>
      <c r="AR91" s="172"/>
      <c r="AS91" s="172"/>
    </row>
    <row r="92" spans="3:45" ht="11.25" customHeight="1">
      <c r="C92" s="13"/>
      <c r="D92" s="13"/>
      <c r="E92" s="13"/>
      <c r="F92" s="13"/>
      <c r="G92" s="13"/>
      <c r="H92" s="13"/>
      <c r="I92" s="13"/>
      <c r="J92" s="13"/>
      <c r="K92" s="13"/>
      <c r="L92" s="13"/>
      <c r="M92" s="13"/>
      <c r="N92" s="13"/>
      <c r="O92" s="13"/>
      <c r="P92" s="13"/>
      <c r="Q92" s="13"/>
      <c r="T92" s="10"/>
      <c r="U92" s="74"/>
      <c r="V92" s="74"/>
      <c r="W92" s="10"/>
      <c r="X92" s="10"/>
      <c r="Y92" s="10"/>
      <c r="Z92" s="10"/>
      <c r="AA92" s="10"/>
      <c r="AB92" s="10"/>
      <c r="AC92" s="10"/>
      <c r="AD92" s="10"/>
      <c r="AE92" s="10"/>
      <c r="AF92" s="10"/>
      <c r="AG92" s="10"/>
      <c r="AH92" s="10"/>
      <c r="AI92" s="10"/>
      <c r="AJ92" s="10"/>
      <c r="AK92" s="10"/>
      <c r="AL92" s="10"/>
      <c r="AM92" s="10"/>
      <c r="AN92" s="10"/>
      <c r="AO92" s="10"/>
      <c r="AP92" s="10"/>
      <c r="AQ92" s="172"/>
      <c r="AR92" s="172"/>
      <c r="AS92" s="172"/>
    </row>
    <row r="93" spans="3:45" ht="11.25" customHeight="1">
      <c r="C93" s="13"/>
      <c r="D93" s="13"/>
      <c r="E93" s="13"/>
      <c r="F93" s="13"/>
      <c r="G93" s="13"/>
      <c r="H93" s="13"/>
      <c r="I93" s="13"/>
      <c r="J93" s="13"/>
      <c r="K93" s="13"/>
      <c r="L93" s="13"/>
      <c r="M93" s="13"/>
      <c r="N93" s="13"/>
      <c r="O93" s="13"/>
      <c r="P93" s="13"/>
      <c r="Q93" s="13"/>
      <c r="T93" s="10"/>
      <c r="U93" s="74"/>
      <c r="V93" s="74"/>
      <c r="W93" s="10"/>
      <c r="X93" s="10"/>
      <c r="Y93" s="10"/>
      <c r="Z93" s="10"/>
      <c r="AA93" s="10"/>
      <c r="AB93" s="10"/>
      <c r="AC93" s="10"/>
      <c r="AD93" s="10"/>
      <c r="AE93" s="10"/>
      <c r="AF93" s="10"/>
      <c r="AG93" s="10"/>
      <c r="AH93" s="10"/>
      <c r="AI93" s="10"/>
      <c r="AJ93" s="10"/>
      <c r="AK93" s="10"/>
      <c r="AL93" s="10"/>
      <c r="AM93" s="10"/>
      <c r="AN93" s="10"/>
      <c r="AO93" s="10"/>
      <c r="AP93" s="10"/>
      <c r="AQ93" s="172"/>
      <c r="AR93" s="172"/>
      <c r="AS93" s="172"/>
    </row>
    <row r="94" spans="3:45" ht="11.25" customHeight="1">
      <c r="C94" s="13"/>
      <c r="D94" s="13"/>
      <c r="E94" s="13"/>
      <c r="F94" s="13"/>
      <c r="G94" s="13"/>
      <c r="H94" s="13"/>
      <c r="I94" s="13"/>
      <c r="J94" s="13"/>
      <c r="K94" s="13"/>
      <c r="L94" s="13"/>
      <c r="M94" s="13"/>
      <c r="N94" s="13"/>
      <c r="O94" s="13"/>
      <c r="P94" s="13"/>
      <c r="Q94" s="13"/>
      <c r="T94" s="10"/>
      <c r="U94" s="74"/>
      <c r="V94" s="74"/>
      <c r="W94" s="10"/>
      <c r="X94" s="10"/>
      <c r="Y94" s="10"/>
      <c r="Z94" s="10"/>
      <c r="AA94" s="10"/>
      <c r="AB94" s="10"/>
      <c r="AC94" s="10"/>
      <c r="AD94" s="10"/>
      <c r="AE94" s="10"/>
      <c r="AF94" s="10"/>
      <c r="AG94" s="10"/>
      <c r="AH94" s="10"/>
      <c r="AI94" s="10"/>
      <c r="AJ94" s="10"/>
      <c r="AK94" s="10"/>
      <c r="AL94" s="10"/>
      <c r="AM94" s="10"/>
      <c r="AN94" s="10"/>
      <c r="AO94" s="10"/>
      <c r="AP94" s="10"/>
      <c r="AQ94" s="172"/>
      <c r="AR94" s="172"/>
      <c r="AS94" s="172"/>
    </row>
    <row r="95" spans="3:45" ht="11.25" customHeight="1">
      <c r="C95" s="13"/>
      <c r="D95" s="13"/>
      <c r="E95" s="13"/>
      <c r="F95" s="13"/>
      <c r="G95" s="13"/>
      <c r="H95" s="13"/>
      <c r="I95" s="13"/>
      <c r="J95" s="13"/>
      <c r="K95" s="13"/>
      <c r="L95" s="13"/>
      <c r="M95" s="13"/>
      <c r="N95" s="13"/>
      <c r="O95" s="13"/>
      <c r="P95" s="13"/>
      <c r="Q95" s="13"/>
      <c r="T95" s="10"/>
      <c r="U95" s="74"/>
      <c r="V95" s="74"/>
      <c r="W95" s="10"/>
      <c r="X95" s="10"/>
      <c r="Y95" s="10"/>
      <c r="Z95" s="10"/>
      <c r="AA95" s="10"/>
      <c r="AB95" s="10"/>
      <c r="AC95" s="10"/>
      <c r="AD95" s="10"/>
      <c r="AE95" s="10"/>
      <c r="AF95" s="10"/>
      <c r="AG95" s="10"/>
      <c r="AH95" s="10"/>
      <c r="AI95" s="10"/>
      <c r="AJ95" s="10"/>
      <c r="AK95" s="10"/>
      <c r="AL95" s="10"/>
      <c r="AM95" s="10"/>
      <c r="AN95" s="10"/>
      <c r="AO95" s="10"/>
      <c r="AP95" s="10"/>
      <c r="AQ95" s="172"/>
      <c r="AR95" s="172"/>
      <c r="AS95" s="172"/>
    </row>
    <row r="96" spans="3:45" ht="11.25" customHeight="1">
      <c r="C96" s="13"/>
      <c r="D96" s="13"/>
      <c r="E96" s="13"/>
      <c r="F96" s="13"/>
      <c r="G96" s="13"/>
      <c r="H96" s="13"/>
      <c r="I96" s="13"/>
      <c r="J96" s="13"/>
      <c r="K96" s="13"/>
      <c r="L96" s="13"/>
      <c r="M96" s="13"/>
      <c r="N96" s="13"/>
      <c r="O96" s="13"/>
      <c r="P96" s="13"/>
      <c r="Q96" s="13"/>
      <c r="T96" s="10"/>
      <c r="U96" s="74"/>
      <c r="V96" s="74"/>
      <c r="W96" s="10"/>
      <c r="X96" s="10"/>
      <c r="Y96" s="74"/>
      <c r="Z96" s="74"/>
      <c r="AA96" s="74"/>
      <c r="AB96" s="74"/>
      <c r="AC96" s="10"/>
      <c r="AD96" s="10"/>
      <c r="AE96" s="10"/>
      <c r="AF96" s="10"/>
      <c r="AG96" s="10"/>
      <c r="AH96" s="10"/>
      <c r="AI96" s="10"/>
      <c r="AJ96" s="10"/>
      <c r="AK96" s="10"/>
      <c r="AL96" s="10"/>
      <c r="AM96" s="10"/>
      <c r="AN96" s="10"/>
      <c r="AO96" s="10"/>
      <c r="AP96" s="10"/>
      <c r="AQ96" s="172"/>
      <c r="AR96" s="172"/>
      <c r="AS96" s="172"/>
    </row>
    <row r="97" spans="3:45" ht="13.5" customHeight="1">
      <c r="C97" s="7"/>
      <c r="D97" s="7"/>
      <c r="E97" s="7"/>
      <c r="F97" s="7"/>
      <c r="G97" s="7"/>
      <c r="H97" s="7"/>
      <c r="I97" s="7"/>
      <c r="J97" s="7"/>
      <c r="K97" s="13"/>
      <c r="L97" s="13"/>
      <c r="M97" s="13"/>
      <c r="N97" s="13"/>
      <c r="O97" s="13"/>
      <c r="P97" s="13"/>
      <c r="Q97" s="13"/>
      <c r="T97" s="10"/>
      <c r="U97" s="74"/>
      <c r="V97" s="74"/>
      <c r="W97" s="74"/>
      <c r="X97" s="74"/>
      <c r="Y97" s="10"/>
      <c r="Z97" s="10"/>
      <c r="AA97" s="10"/>
      <c r="AB97" s="10"/>
      <c r="AC97" s="10"/>
      <c r="AD97" s="10"/>
      <c r="AE97" s="10"/>
      <c r="AF97" s="10"/>
      <c r="AG97" s="10"/>
      <c r="AH97" s="10"/>
      <c r="AI97" s="10"/>
      <c r="AJ97" s="10"/>
      <c r="AK97" s="10"/>
      <c r="AL97" s="10"/>
      <c r="AM97" s="10"/>
      <c r="AN97" s="10"/>
      <c r="AO97" s="10"/>
      <c r="AP97" s="10"/>
      <c r="AQ97" s="172"/>
      <c r="AR97" s="172"/>
      <c r="AS97" s="172"/>
    </row>
    <row r="98" spans="3:45" ht="28.5" customHeight="1">
      <c r="C98" s="7"/>
      <c r="D98" s="7"/>
      <c r="E98" s="7"/>
      <c r="F98" s="7"/>
      <c r="G98" s="7"/>
      <c r="H98" s="7"/>
      <c r="I98" s="7"/>
      <c r="J98" s="7"/>
      <c r="K98" s="13"/>
      <c r="L98" s="13"/>
      <c r="M98" s="13"/>
      <c r="N98" s="13"/>
      <c r="O98" s="13"/>
      <c r="P98" s="13"/>
      <c r="Q98" s="13"/>
      <c r="T98" s="10"/>
      <c r="U98" s="74"/>
      <c r="V98" s="74"/>
      <c r="W98" s="10"/>
      <c r="X98" s="10"/>
      <c r="Y98" s="10"/>
      <c r="Z98" s="10"/>
      <c r="AA98" s="10"/>
      <c r="AB98" s="10"/>
      <c r="AC98" s="10"/>
      <c r="AD98" s="10"/>
      <c r="AE98" s="10"/>
      <c r="AF98" s="10"/>
      <c r="AG98" s="10"/>
      <c r="AH98" s="10"/>
      <c r="AI98" s="10"/>
      <c r="AJ98" s="10"/>
      <c r="AK98" s="10"/>
      <c r="AL98" s="10"/>
      <c r="AM98" s="10"/>
      <c r="AN98" s="10"/>
      <c r="AO98" s="10"/>
      <c r="AP98" s="10"/>
      <c r="AQ98" s="172"/>
      <c r="AR98" s="172"/>
      <c r="AS98" s="172"/>
    </row>
    <row r="99" spans="3:45" ht="5.25" customHeight="1">
      <c r="C99" s="7"/>
      <c r="D99" s="7"/>
      <c r="E99" s="7"/>
      <c r="F99" s="7"/>
      <c r="G99" s="7"/>
      <c r="H99" s="7"/>
      <c r="I99" s="7"/>
      <c r="J99" s="7"/>
      <c r="K99" s="13"/>
      <c r="L99" s="13"/>
      <c r="M99" s="13"/>
      <c r="N99" s="13"/>
      <c r="O99" s="13"/>
      <c r="P99" s="13"/>
      <c r="Q99" s="13"/>
      <c r="T99" s="10"/>
      <c r="U99" s="74"/>
      <c r="V99" s="74"/>
      <c r="W99" s="10"/>
      <c r="X99" s="10"/>
      <c r="Y99" s="10"/>
      <c r="Z99" s="10"/>
      <c r="AA99" s="10"/>
      <c r="AB99" s="10"/>
      <c r="AC99" s="10"/>
      <c r="AD99" s="10"/>
      <c r="AE99" s="10"/>
      <c r="AF99" s="10"/>
      <c r="AG99" s="10"/>
      <c r="AH99" s="10"/>
      <c r="AI99" s="10"/>
      <c r="AJ99" s="10"/>
      <c r="AK99" s="10"/>
      <c r="AL99" s="10"/>
      <c r="AM99" s="10"/>
      <c r="AN99" s="10"/>
      <c r="AO99" s="10"/>
      <c r="AP99" s="10"/>
      <c r="AQ99" s="172"/>
      <c r="AR99" s="172"/>
      <c r="AS99" s="172"/>
    </row>
    <row r="100" spans="3:45" ht="13.5" customHeight="1">
      <c r="C100" s="7"/>
      <c r="D100" s="7"/>
      <c r="E100" s="7"/>
      <c r="F100" s="7"/>
      <c r="G100" s="7"/>
      <c r="H100" s="7"/>
      <c r="I100" s="7"/>
      <c r="J100" s="7"/>
      <c r="K100" s="13"/>
      <c r="L100" s="13"/>
      <c r="M100" s="13"/>
      <c r="N100" s="13"/>
      <c r="O100" s="13"/>
      <c r="P100" s="13"/>
      <c r="Q100" s="13"/>
      <c r="T100" s="10"/>
      <c r="U100" s="74"/>
      <c r="V100" s="74"/>
      <c r="W100" s="10"/>
      <c r="X100" s="10"/>
      <c r="Y100" s="10"/>
      <c r="Z100" s="10"/>
      <c r="AA100" s="10"/>
      <c r="AB100" s="10"/>
      <c r="AC100" s="10"/>
      <c r="AD100" s="10"/>
      <c r="AE100" s="10"/>
      <c r="AF100" s="10"/>
      <c r="AG100" s="10"/>
      <c r="AH100" s="10"/>
      <c r="AI100" s="10"/>
      <c r="AJ100" s="10"/>
      <c r="AK100" s="10"/>
      <c r="AL100" s="10"/>
      <c r="AM100" s="10"/>
      <c r="AN100" s="10"/>
      <c r="AO100" s="10"/>
      <c r="AP100" s="10"/>
      <c r="AQ100" s="172"/>
      <c r="AR100" s="172"/>
      <c r="AS100" s="172"/>
    </row>
    <row r="101" spans="3:45" ht="13.5" customHeight="1">
      <c r="C101" s="7"/>
      <c r="D101" s="7"/>
      <c r="E101" s="7"/>
      <c r="F101" s="7"/>
      <c r="G101" s="7"/>
      <c r="H101" s="7"/>
      <c r="I101" s="7"/>
      <c r="J101" s="7"/>
      <c r="K101" s="13"/>
      <c r="L101" s="13"/>
      <c r="M101" s="13"/>
      <c r="N101" s="13"/>
      <c r="O101" s="13"/>
      <c r="P101" s="13"/>
      <c r="Q101" s="13"/>
      <c r="T101" s="10"/>
      <c r="U101" s="74"/>
      <c r="V101" s="74"/>
      <c r="W101" s="10"/>
      <c r="X101" s="10"/>
      <c r="Y101" s="10"/>
      <c r="Z101" s="10"/>
      <c r="AA101" s="10"/>
      <c r="AB101" s="10"/>
      <c r="AC101" s="10"/>
      <c r="AD101" s="10"/>
      <c r="AE101" s="10"/>
      <c r="AF101" s="10"/>
      <c r="AG101" s="10"/>
      <c r="AH101" s="10"/>
      <c r="AI101" s="10"/>
      <c r="AJ101" s="10"/>
      <c r="AK101" s="10"/>
      <c r="AL101" s="10"/>
      <c r="AM101" s="10"/>
      <c r="AN101" s="10"/>
      <c r="AO101" s="10"/>
      <c r="AP101" s="10"/>
      <c r="AQ101" s="172"/>
      <c r="AR101" s="172"/>
      <c r="AS101" s="172"/>
    </row>
    <row r="102" spans="3:45" ht="13.5" customHeight="1">
      <c r="C102" s="7"/>
      <c r="D102" s="7"/>
      <c r="E102" s="7"/>
      <c r="F102" s="7"/>
      <c r="G102" s="7"/>
      <c r="H102" s="7"/>
      <c r="I102" s="7"/>
      <c r="J102" s="7"/>
      <c r="K102" s="13"/>
      <c r="L102" s="13"/>
      <c r="M102" s="13"/>
      <c r="N102" s="13"/>
      <c r="O102" s="13"/>
      <c r="P102" s="13"/>
      <c r="Q102" s="13"/>
      <c r="T102" s="10"/>
      <c r="U102" s="74"/>
      <c r="V102" s="74"/>
      <c r="W102" s="10"/>
      <c r="X102" s="10"/>
      <c r="Y102" s="10"/>
      <c r="Z102" s="10"/>
      <c r="AA102" s="10"/>
      <c r="AB102" s="10"/>
      <c r="AC102" s="10"/>
      <c r="AD102" s="10"/>
      <c r="AE102" s="10"/>
      <c r="AF102" s="10"/>
      <c r="AG102" s="10"/>
      <c r="AH102" s="10"/>
      <c r="AI102" s="10"/>
      <c r="AJ102" s="10"/>
      <c r="AK102" s="10"/>
      <c r="AL102" s="10"/>
      <c r="AM102" s="10"/>
      <c r="AN102" s="10"/>
      <c r="AO102" s="10"/>
      <c r="AP102" s="10"/>
      <c r="AQ102" s="172"/>
      <c r="AR102" s="172"/>
      <c r="AS102" s="172"/>
    </row>
    <row r="103" spans="3:45" ht="13.5" customHeight="1">
      <c r="C103" s="7"/>
      <c r="D103" s="7"/>
      <c r="E103" s="7"/>
      <c r="F103" s="7"/>
      <c r="G103" s="7"/>
      <c r="H103" s="7"/>
      <c r="I103" s="7"/>
      <c r="J103" s="7"/>
      <c r="K103" s="13"/>
      <c r="L103" s="13"/>
      <c r="M103" s="13"/>
      <c r="N103" s="13"/>
      <c r="O103" s="13"/>
      <c r="P103" s="13"/>
      <c r="Q103" s="13"/>
      <c r="T103" s="10"/>
      <c r="U103" s="74"/>
      <c r="V103" s="74"/>
      <c r="W103" s="10"/>
      <c r="X103" s="10"/>
      <c r="Y103" s="10"/>
      <c r="Z103" s="10"/>
      <c r="AA103" s="10"/>
      <c r="AB103" s="10"/>
      <c r="AC103" s="10"/>
      <c r="AD103" s="10"/>
      <c r="AE103" s="10"/>
      <c r="AF103" s="10"/>
      <c r="AG103" s="10"/>
      <c r="AH103" s="10"/>
      <c r="AI103" s="10"/>
      <c r="AJ103" s="10"/>
      <c r="AK103" s="10"/>
      <c r="AL103" s="10"/>
      <c r="AM103" s="10"/>
      <c r="AN103" s="10"/>
      <c r="AO103" s="10"/>
      <c r="AP103" s="10"/>
      <c r="AQ103" s="172"/>
      <c r="AR103" s="172"/>
      <c r="AS103" s="172"/>
    </row>
    <row r="104" spans="3:45" ht="13.5" customHeight="1">
      <c r="C104" s="7"/>
      <c r="D104" s="7"/>
      <c r="E104" s="7"/>
      <c r="F104" s="7"/>
      <c r="G104" s="7"/>
      <c r="H104" s="7"/>
      <c r="I104" s="7"/>
      <c r="J104" s="7"/>
      <c r="K104" s="13"/>
      <c r="L104" s="13"/>
      <c r="M104" s="13"/>
      <c r="N104" s="13"/>
      <c r="O104" s="13"/>
      <c r="P104" s="13"/>
      <c r="Q104" s="13"/>
      <c r="T104" s="10"/>
      <c r="U104" s="74"/>
      <c r="V104" s="74"/>
      <c r="W104" s="10"/>
      <c r="X104" s="10"/>
      <c r="Y104" s="10"/>
      <c r="Z104" s="10"/>
      <c r="AA104" s="10"/>
      <c r="AB104" s="10"/>
      <c r="AC104" s="10"/>
      <c r="AD104" s="10"/>
      <c r="AE104" s="10"/>
      <c r="AF104" s="10"/>
      <c r="AG104" s="10"/>
      <c r="AH104" s="10"/>
      <c r="AI104" s="10"/>
      <c r="AJ104" s="10"/>
      <c r="AK104" s="10"/>
      <c r="AL104" s="10"/>
      <c r="AM104" s="10"/>
      <c r="AN104" s="10"/>
      <c r="AO104" s="10"/>
      <c r="AP104" s="10"/>
      <c r="AQ104" s="172"/>
      <c r="AR104" s="172"/>
      <c r="AS104" s="172"/>
    </row>
    <row r="105" spans="3:45" ht="13.5" customHeight="1">
      <c r="C105" s="7"/>
      <c r="D105" s="7"/>
      <c r="E105" s="7"/>
      <c r="F105" s="7"/>
      <c r="G105" s="7"/>
      <c r="H105" s="7"/>
      <c r="I105" s="7"/>
      <c r="J105" s="7"/>
      <c r="K105" s="13"/>
      <c r="L105" s="13"/>
      <c r="M105" s="13"/>
      <c r="N105" s="13"/>
      <c r="O105" s="13"/>
      <c r="P105" s="13"/>
      <c r="Q105" s="13"/>
      <c r="T105" s="10"/>
      <c r="U105" s="74"/>
      <c r="V105" s="74"/>
      <c r="W105" s="10"/>
      <c r="X105" s="10"/>
      <c r="Y105" s="10"/>
      <c r="Z105" s="10"/>
      <c r="AA105" s="10"/>
      <c r="AB105" s="10"/>
      <c r="AC105" s="10"/>
      <c r="AD105" s="10"/>
      <c r="AE105" s="10"/>
      <c r="AF105" s="10"/>
      <c r="AG105" s="10"/>
      <c r="AH105" s="10"/>
      <c r="AI105" s="10"/>
      <c r="AJ105" s="10"/>
      <c r="AK105" s="10"/>
      <c r="AL105" s="10"/>
      <c r="AM105" s="10"/>
      <c r="AN105" s="10"/>
      <c r="AO105" s="10"/>
      <c r="AP105" s="10"/>
      <c r="AQ105" s="172"/>
      <c r="AR105" s="172"/>
      <c r="AS105" s="172"/>
    </row>
    <row r="106" spans="3:45" ht="13.5" customHeight="1">
      <c r="C106" s="7"/>
      <c r="D106" s="7"/>
      <c r="E106" s="7"/>
      <c r="F106" s="7"/>
      <c r="G106" s="7"/>
      <c r="H106" s="7"/>
      <c r="I106" s="7"/>
      <c r="J106" s="7"/>
      <c r="K106" s="13"/>
      <c r="L106" s="13"/>
      <c r="M106" s="13"/>
      <c r="N106" s="13"/>
      <c r="O106" s="13"/>
      <c r="P106" s="13"/>
      <c r="Q106" s="13"/>
      <c r="T106" s="10"/>
      <c r="U106" s="74"/>
      <c r="V106" s="74"/>
      <c r="W106" s="10"/>
      <c r="X106" s="10"/>
      <c r="Y106" s="10"/>
      <c r="Z106" s="10"/>
      <c r="AA106" s="10"/>
      <c r="AB106" s="10"/>
      <c r="AC106" s="10"/>
      <c r="AD106" s="10"/>
      <c r="AE106" s="10"/>
      <c r="AF106" s="10"/>
      <c r="AG106" s="10"/>
      <c r="AH106" s="10"/>
      <c r="AI106" s="10"/>
      <c r="AJ106" s="10"/>
      <c r="AK106" s="10"/>
      <c r="AL106" s="10"/>
      <c r="AM106" s="10"/>
      <c r="AN106" s="10"/>
      <c r="AO106" s="10"/>
      <c r="AP106" s="10"/>
      <c r="AQ106" s="172"/>
      <c r="AR106" s="172"/>
      <c r="AS106" s="172"/>
    </row>
    <row r="107" spans="3:45" ht="13.5" customHeight="1">
      <c r="C107" s="7"/>
      <c r="D107" s="7"/>
      <c r="E107" s="7"/>
      <c r="F107" s="7"/>
      <c r="G107" s="7"/>
      <c r="H107" s="7"/>
      <c r="I107" s="7"/>
      <c r="J107" s="7"/>
      <c r="K107" s="13"/>
      <c r="L107" s="13"/>
      <c r="M107" s="13"/>
      <c r="N107" s="13"/>
      <c r="O107" s="13"/>
      <c r="P107" s="13"/>
      <c r="Q107" s="13"/>
      <c r="T107" s="10"/>
      <c r="U107" s="74"/>
      <c r="V107" s="74"/>
      <c r="W107" s="10"/>
      <c r="X107" s="10"/>
      <c r="Y107" s="10"/>
      <c r="Z107" s="10"/>
      <c r="AA107" s="10"/>
      <c r="AB107" s="10"/>
      <c r="AC107" s="10"/>
      <c r="AD107" s="10"/>
      <c r="AE107" s="10"/>
      <c r="AF107" s="10"/>
      <c r="AG107" s="10"/>
      <c r="AH107" s="10"/>
      <c r="AI107" s="10"/>
      <c r="AJ107" s="10"/>
      <c r="AK107" s="10"/>
      <c r="AL107" s="10"/>
      <c r="AM107" s="10"/>
      <c r="AN107" s="10"/>
      <c r="AO107" s="10"/>
      <c r="AP107" s="10"/>
      <c r="AQ107" s="172"/>
      <c r="AR107" s="172"/>
      <c r="AS107" s="172"/>
    </row>
    <row r="108" spans="3:45" ht="13.5" customHeight="1">
      <c r="C108" s="7"/>
      <c r="D108" s="7"/>
      <c r="E108" s="7"/>
      <c r="F108" s="7"/>
      <c r="G108" s="7"/>
      <c r="H108" s="7"/>
      <c r="I108" s="7"/>
      <c r="J108" s="7"/>
      <c r="K108" s="13"/>
      <c r="L108" s="13"/>
      <c r="M108" s="13"/>
      <c r="N108" s="13"/>
      <c r="O108" s="13"/>
      <c r="P108" s="13"/>
      <c r="Q108" s="13"/>
      <c r="T108" s="10"/>
      <c r="U108" s="74"/>
      <c r="V108" s="74"/>
      <c r="W108" s="10"/>
      <c r="X108" s="10"/>
      <c r="Y108" s="10"/>
      <c r="Z108" s="10"/>
      <c r="AA108" s="10"/>
      <c r="AB108" s="10"/>
      <c r="AC108" s="10"/>
      <c r="AD108" s="10"/>
      <c r="AE108" s="10"/>
      <c r="AF108" s="10"/>
      <c r="AG108" s="10"/>
      <c r="AH108" s="10"/>
      <c r="AI108" s="10"/>
      <c r="AJ108" s="10"/>
      <c r="AK108" s="10"/>
      <c r="AL108" s="10"/>
      <c r="AM108" s="10"/>
      <c r="AN108" s="10"/>
      <c r="AO108" s="10"/>
      <c r="AP108" s="10"/>
      <c r="AQ108" s="172"/>
      <c r="AR108" s="172"/>
      <c r="AS108" s="172"/>
    </row>
    <row r="109" spans="3:45" ht="13.5" customHeight="1">
      <c r="C109" s="7"/>
      <c r="D109" s="7"/>
      <c r="E109" s="7"/>
      <c r="F109" s="7"/>
      <c r="G109" s="7"/>
      <c r="H109" s="7"/>
      <c r="I109" s="7"/>
      <c r="J109" s="7"/>
      <c r="K109" s="13"/>
      <c r="L109" s="13"/>
      <c r="M109" s="13"/>
      <c r="N109" s="13"/>
      <c r="O109" s="13"/>
      <c r="P109" s="13"/>
      <c r="Q109" s="13"/>
      <c r="T109" s="10"/>
      <c r="U109" s="74"/>
      <c r="V109" s="74"/>
      <c r="W109" s="10"/>
      <c r="X109" s="10"/>
      <c r="Y109" s="10"/>
      <c r="Z109" s="10"/>
      <c r="AA109" s="10"/>
      <c r="AB109" s="10"/>
      <c r="AC109" s="10"/>
      <c r="AD109" s="10"/>
      <c r="AE109" s="10"/>
      <c r="AF109" s="10"/>
      <c r="AG109" s="10"/>
      <c r="AH109" s="10"/>
      <c r="AI109" s="10"/>
      <c r="AJ109" s="10"/>
      <c r="AK109" s="10"/>
      <c r="AL109" s="10"/>
      <c r="AM109" s="10"/>
      <c r="AN109" s="10"/>
      <c r="AO109" s="10"/>
      <c r="AP109" s="10"/>
      <c r="AQ109" s="172"/>
      <c r="AR109" s="172"/>
      <c r="AS109" s="172"/>
    </row>
    <row r="110" spans="3:45" ht="13.5" customHeight="1">
      <c r="C110" s="7"/>
      <c r="D110" s="7"/>
      <c r="E110" s="7"/>
      <c r="F110" s="7"/>
      <c r="G110" s="7"/>
      <c r="H110" s="7"/>
      <c r="I110" s="7"/>
      <c r="J110" s="7"/>
      <c r="K110" s="13"/>
      <c r="L110" s="13"/>
      <c r="M110" s="13"/>
      <c r="N110" s="13"/>
      <c r="O110" s="13"/>
      <c r="P110" s="13"/>
      <c r="Q110" s="13"/>
      <c r="T110" s="10"/>
      <c r="U110" s="74"/>
      <c r="V110" s="74"/>
      <c r="W110" s="10"/>
      <c r="X110" s="10"/>
      <c r="Y110" s="10"/>
      <c r="Z110" s="10"/>
      <c r="AA110" s="10"/>
      <c r="AB110" s="10"/>
      <c r="AC110" s="10"/>
      <c r="AD110" s="10"/>
      <c r="AE110" s="10"/>
      <c r="AF110" s="10"/>
      <c r="AG110" s="10"/>
      <c r="AH110" s="10"/>
      <c r="AI110" s="10"/>
      <c r="AJ110" s="10"/>
      <c r="AK110" s="10"/>
      <c r="AL110" s="10"/>
      <c r="AM110" s="10"/>
      <c r="AN110" s="10"/>
      <c r="AO110" s="10"/>
      <c r="AP110" s="10"/>
      <c r="AQ110" s="172"/>
      <c r="AR110" s="172"/>
      <c r="AS110" s="172"/>
    </row>
    <row r="111" spans="3:45" ht="13.5" customHeight="1">
      <c r="C111" s="7"/>
      <c r="D111" s="7"/>
      <c r="E111" s="7"/>
      <c r="F111" s="7"/>
      <c r="G111" s="7"/>
      <c r="H111" s="7"/>
      <c r="I111" s="7"/>
      <c r="J111" s="7"/>
      <c r="K111" s="13"/>
      <c r="L111" s="13"/>
      <c r="M111" s="13"/>
      <c r="N111" s="13"/>
      <c r="O111" s="13"/>
      <c r="P111" s="13"/>
      <c r="Q111" s="13"/>
      <c r="T111" s="10"/>
      <c r="U111" s="74"/>
      <c r="V111" s="74"/>
      <c r="W111" s="10"/>
      <c r="X111" s="10"/>
      <c r="Y111" s="10"/>
      <c r="Z111" s="10"/>
      <c r="AA111" s="10"/>
      <c r="AB111" s="10"/>
      <c r="AC111" s="10"/>
      <c r="AD111" s="10"/>
      <c r="AE111" s="10"/>
      <c r="AF111" s="10"/>
      <c r="AG111" s="10"/>
      <c r="AH111" s="10"/>
      <c r="AI111" s="10"/>
      <c r="AJ111" s="10"/>
      <c r="AK111" s="10"/>
      <c r="AL111" s="10"/>
      <c r="AM111" s="10"/>
      <c r="AN111" s="10"/>
      <c r="AO111" s="10"/>
      <c r="AP111" s="10"/>
      <c r="AQ111" s="172"/>
      <c r="AR111" s="172"/>
      <c r="AS111" s="172"/>
    </row>
    <row r="112" spans="3:45" ht="13.5" customHeight="1">
      <c r="C112" s="7"/>
      <c r="D112" s="7"/>
      <c r="E112" s="7"/>
      <c r="F112" s="7"/>
      <c r="G112" s="7"/>
      <c r="H112" s="7"/>
      <c r="I112" s="7"/>
      <c r="J112" s="7"/>
      <c r="K112" s="13"/>
      <c r="L112" s="13"/>
      <c r="M112" s="13"/>
      <c r="N112" s="13"/>
      <c r="O112" s="13"/>
      <c r="P112" s="13"/>
      <c r="Q112" s="13"/>
      <c r="T112" s="10"/>
      <c r="U112" s="74"/>
      <c r="V112" s="74"/>
      <c r="W112" s="10"/>
      <c r="X112" s="10"/>
      <c r="Y112" s="10"/>
      <c r="Z112" s="10"/>
      <c r="AA112" s="10"/>
      <c r="AB112" s="10"/>
      <c r="AC112" s="10"/>
      <c r="AD112" s="10"/>
      <c r="AE112" s="10"/>
      <c r="AF112" s="10"/>
      <c r="AG112" s="10"/>
      <c r="AH112" s="10"/>
      <c r="AI112" s="10"/>
      <c r="AJ112" s="10"/>
      <c r="AK112" s="10"/>
      <c r="AL112" s="10"/>
      <c r="AM112" s="10"/>
      <c r="AN112" s="10"/>
      <c r="AO112" s="10"/>
      <c r="AP112" s="10"/>
      <c r="AQ112" s="172"/>
      <c r="AR112" s="172"/>
      <c r="AS112" s="172"/>
    </row>
    <row r="113" spans="3:45" ht="13.5" customHeight="1">
      <c r="C113" s="7"/>
      <c r="D113" s="7"/>
      <c r="E113" s="7"/>
      <c r="F113" s="7"/>
      <c r="G113" s="7"/>
      <c r="H113" s="7"/>
      <c r="I113" s="7"/>
      <c r="J113" s="7"/>
      <c r="K113" s="13"/>
      <c r="L113" s="13"/>
      <c r="M113" s="13"/>
      <c r="N113" s="13"/>
      <c r="O113" s="13"/>
      <c r="P113" s="13"/>
      <c r="Q113" s="13"/>
      <c r="T113" s="10"/>
      <c r="U113" s="74"/>
      <c r="V113" s="74"/>
      <c r="W113" s="10"/>
      <c r="X113" s="10"/>
      <c r="Y113" s="10"/>
      <c r="Z113" s="10"/>
      <c r="AA113" s="10"/>
      <c r="AB113" s="10"/>
      <c r="AC113" s="10"/>
      <c r="AD113" s="10"/>
      <c r="AE113" s="10"/>
      <c r="AF113" s="10"/>
      <c r="AG113" s="10"/>
      <c r="AH113" s="10"/>
      <c r="AI113" s="10"/>
      <c r="AJ113" s="10"/>
      <c r="AK113" s="10"/>
      <c r="AL113" s="10"/>
      <c r="AM113" s="10"/>
      <c r="AN113" s="10"/>
      <c r="AO113" s="10"/>
      <c r="AP113" s="10"/>
      <c r="AQ113" s="172"/>
      <c r="AR113" s="172"/>
      <c r="AS113" s="172"/>
    </row>
    <row r="114" spans="3:45" ht="13.5" customHeight="1">
      <c r="C114" s="7"/>
      <c r="D114" s="7"/>
      <c r="E114" s="7"/>
      <c r="F114" s="7"/>
      <c r="G114" s="7"/>
      <c r="H114" s="7"/>
      <c r="I114" s="7"/>
      <c r="J114" s="7"/>
      <c r="K114" s="13"/>
      <c r="L114" s="13"/>
      <c r="M114" s="13"/>
      <c r="N114" s="13"/>
      <c r="O114" s="13"/>
      <c r="P114" s="13"/>
      <c r="Q114" s="13"/>
      <c r="T114" s="10"/>
      <c r="U114" s="74"/>
      <c r="V114" s="74"/>
      <c r="W114" s="10"/>
      <c r="X114" s="10"/>
      <c r="Y114" s="10"/>
      <c r="Z114" s="10"/>
      <c r="AA114" s="10"/>
      <c r="AB114" s="10"/>
      <c r="AC114" s="10"/>
      <c r="AD114" s="10"/>
      <c r="AE114" s="10"/>
      <c r="AF114" s="10"/>
      <c r="AG114" s="10"/>
      <c r="AH114" s="10"/>
      <c r="AI114" s="10"/>
      <c r="AJ114" s="10"/>
      <c r="AK114" s="10"/>
      <c r="AL114" s="10"/>
      <c r="AM114" s="10"/>
      <c r="AN114" s="10"/>
      <c r="AO114" s="10"/>
      <c r="AP114" s="10"/>
      <c r="AQ114" s="172"/>
      <c r="AR114" s="172"/>
      <c r="AS114" s="172"/>
    </row>
    <row r="115" spans="3:45" ht="13.5" customHeight="1">
      <c r="K115" s="49"/>
      <c r="L115" s="49"/>
      <c r="M115" s="49"/>
      <c r="N115" s="49"/>
      <c r="O115" s="49"/>
      <c r="P115" s="49"/>
      <c r="Q115" s="49"/>
      <c r="T115" s="10"/>
      <c r="U115" s="74"/>
      <c r="V115" s="74"/>
      <c r="W115" s="10"/>
      <c r="X115" s="10"/>
      <c r="Y115" s="10"/>
      <c r="Z115" s="10"/>
      <c r="AA115" s="10"/>
      <c r="AB115" s="10"/>
      <c r="AC115" s="10"/>
      <c r="AD115" s="10"/>
      <c r="AE115" s="10"/>
      <c r="AF115" s="10"/>
      <c r="AG115" s="10"/>
      <c r="AH115" s="10"/>
      <c r="AI115" s="10"/>
      <c r="AJ115" s="10"/>
      <c r="AK115" s="10"/>
      <c r="AL115" s="10"/>
      <c r="AM115" s="10"/>
      <c r="AN115" s="10"/>
      <c r="AO115" s="10"/>
      <c r="AP115" s="10"/>
      <c r="AQ115" s="172"/>
      <c r="AR115" s="172"/>
      <c r="AS115" s="172"/>
    </row>
    <row r="116" spans="3:45" ht="13.5" customHeight="1">
      <c r="K116" s="49"/>
      <c r="L116" s="49"/>
      <c r="M116" s="49"/>
      <c r="N116" s="49"/>
      <c r="O116" s="49"/>
      <c r="P116" s="49"/>
      <c r="Q116" s="49"/>
      <c r="T116" s="10"/>
      <c r="U116" s="74"/>
      <c r="V116" s="74"/>
      <c r="W116" s="10"/>
      <c r="X116" s="10"/>
      <c r="Y116" s="10"/>
      <c r="Z116" s="10"/>
      <c r="AA116" s="10"/>
      <c r="AB116" s="10"/>
      <c r="AC116" s="10"/>
      <c r="AD116" s="10"/>
      <c r="AE116" s="10"/>
      <c r="AF116" s="10"/>
      <c r="AG116" s="10"/>
      <c r="AH116" s="10"/>
      <c r="AI116" s="10"/>
      <c r="AJ116" s="10"/>
      <c r="AK116" s="10"/>
      <c r="AL116" s="10"/>
      <c r="AM116" s="10"/>
      <c r="AN116" s="10"/>
      <c r="AO116" s="10"/>
      <c r="AP116" s="10"/>
      <c r="AQ116" s="172"/>
      <c r="AR116" s="172"/>
      <c r="AS116" s="172"/>
    </row>
    <row r="117" spans="3:45" ht="13.5" customHeight="1">
      <c r="K117" s="49"/>
      <c r="L117" s="49"/>
      <c r="M117" s="49"/>
      <c r="N117" s="49"/>
      <c r="O117" s="49"/>
      <c r="P117" s="49"/>
      <c r="Q117" s="49"/>
      <c r="T117" s="10"/>
      <c r="U117" s="74"/>
      <c r="V117" s="74"/>
      <c r="W117" s="10"/>
      <c r="X117" s="10"/>
      <c r="Y117" s="10"/>
      <c r="Z117" s="10"/>
      <c r="AA117" s="10"/>
      <c r="AB117" s="10"/>
      <c r="AC117" s="10"/>
      <c r="AD117" s="10"/>
      <c r="AE117" s="10"/>
      <c r="AF117" s="10"/>
      <c r="AG117" s="10"/>
      <c r="AH117" s="10"/>
      <c r="AI117" s="10"/>
      <c r="AJ117" s="10"/>
      <c r="AK117" s="10"/>
      <c r="AL117" s="10"/>
      <c r="AM117" s="10"/>
      <c r="AN117" s="10"/>
      <c r="AO117" s="10"/>
      <c r="AP117" s="10"/>
      <c r="AQ117" s="172"/>
      <c r="AR117" s="172"/>
      <c r="AS117" s="172"/>
    </row>
    <row r="118" spans="3:45" ht="13.5" customHeight="1">
      <c r="K118" s="49"/>
      <c r="L118" s="49"/>
      <c r="M118" s="49"/>
      <c r="N118" s="49"/>
      <c r="O118" s="49"/>
      <c r="P118" s="49"/>
      <c r="Q118" s="49"/>
      <c r="T118" s="172"/>
      <c r="U118" s="74"/>
      <c r="V118" s="74"/>
      <c r="W118" s="10"/>
      <c r="X118" s="10"/>
      <c r="Y118" s="172"/>
      <c r="Z118" s="172"/>
      <c r="AA118" s="172"/>
      <c r="AB118" s="172"/>
      <c r="AC118" s="172"/>
      <c r="AD118" s="172"/>
      <c r="AE118" s="172"/>
      <c r="AF118" s="172"/>
      <c r="AG118" s="172"/>
      <c r="AH118" s="172"/>
      <c r="AI118" s="172"/>
      <c r="AJ118" s="172"/>
      <c r="AK118" s="172"/>
      <c r="AL118" s="10"/>
      <c r="AM118" s="10"/>
      <c r="AN118" s="10"/>
      <c r="AO118" s="10"/>
      <c r="AP118" s="10"/>
      <c r="AQ118" s="172"/>
      <c r="AR118" s="172"/>
      <c r="AS118" s="172"/>
    </row>
    <row r="119" spans="3:45" ht="13.5" customHeight="1">
      <c r="K119" s="49"/>
      <c r="L119" s="49"/>
      <c r="M119" s="49"/>
      <c r="N119" s="49"/>
      <c r="O119" s="49"/>
      <c r="P119" s="49"/>
      <c r="Q119" s="49"/>
      <c r="T119" s="172"/>
      <c r="V119" s="273"/>
      <c r="W119" s="172"/>
      <c r="X119" s="172"/>
      <c r="Y119" s="172"/>
      <c r="Z119" s="172"/>
      <c r="AA119" s="172"/>
      <c r="AB119" s="172"/>
      <c r="AC119" s="172"/>
      <c r="AD119" s="172"/>
      <c r="AE119" s="172"/>
      <c r="AF119" s="172"/>
      <c r="AG119" s="172"/>
      <c r="AH119" s="172"/>
      <c r="AI119" s="172"/>
      <c r="AJ119" s="172"/>
      <c r="AK119" s="172"/>
      <c r="AL119" s="172"/>
      <c r="AM119" s="172"/>
      <c r="AN119" s="172"/>
      <c r="AO119" s="172"/>
      <c r="AP119" s="172"/>
      <c r="AQ119" s="172"/>
      <c r="AR119" s="172"/>
      <c r="AS119" s="172"/>
    </row>
    <row r="120" spans="3:45" ht="13.5" customHeight="1">
      <c r="K120" s="49"/>
      <c r="L120" s="49"/>
      <c r="M120" s="49"/>
      <c r="N120" s="49"/>
      <c r="O120" s="49"/>
      <c r="P120" s="49"/>
      <c r="Q120" s="49"/>
      <c r="T120" s="172"/>
      <c r="V120" s="273"/>
      <c r="W120" s="172"/>
      <c r="X120" s="172"/>
      <c r="Y120" s="172"/>
      <c r="Z120" s="172"/>
      <c r="AA120" s="172"/>
      <c r="AB120" s="172"/>
      <c r="AC120" s="172"/>
      <c r="AD120" s="172"/>
      <c r="AE120" s="172"/>
      <c r="AF120" s="172"/>
      <c r="AG120" s="172"/>
      <c r="AH120" s="172"/>
      <c r="AI120" s="172"/>
      <c r="AJ120" s="172"/>
      <c r="AK120" s="172"/>
      <c r="AL120" s="172"/>
      <c r="AM120" s="172"/>
      <c r="AN120" s="172"/>
      <c r="AO120" s="172"/>
      <c r="AP120" s="172"/>
      <c r="AQ120" s="172"/>
      <c r="AR120" s="172"/>
      <c r="AS120" s="172"/>
    </row>
    <row r="121" spans="3:45" ht="13.5" customHeight="1">
      <c r="K121" s="49"/>
      <c r="L121" s="49"/>
      <c r="M121" s="49"/>
      <c r="N121" s="49"/>
      <c r="O121" s="49"/>
      <c r="P121" s="49"/>
      <c r="Q121" s="49"/>
      <c r="T121" s="172"/>
      <c r="V121" s="273"/>
      <c r="W121" s="172"/>
      <c r="X121" s="172"/>
      <c r="Y121" s="172"/>
      <c r="Z121" s="172"/>
      <c r="AA121" s="172"/>
      <c r="AB121" s="172"/>
      <c r="AC121" s="172"/>
      <c r="AD121" s="172"/>
      <c r="AE121" s="172"/>
      <c r="AF121" s="172"/>
      <c r="AG121" s="172"/>
      <c r="AH121" s="172"/>
      <c r="AI121" s="172"/>
      <c r="AJ121" s="172"/>
      <c r="AK121" s="172"/>
      <c r="AL121" s="172"/>
      <c r="AM121" s="172"/>
      <c r="AN121" s="172"/>
      <c r="AO121" s="172"/>
      <c r="AP121" s="172"/>
      <c r="AQ121" s="172"/>
      <c r="AR121" s="172"/>
      <c r="AS121" s="172"/>
    </row>
    <row r="122" spans="3:45" ht="13.5" customHeight="1">
      <c r="K122" s="49"/>
      <c r="L122" s="49"/>
      <c r="M122" s="49"/>
      <c r="N122" s="49"/>
      <c r="O122" s="49"/>
      <c r="P122" s="49"/>
      <c r="Q122" s="49"/>
      <c r="T122" s="172"/>
      <c r="V122" s="273"/>
      <c r="W122" s="172"/>
      <c r="X122" s="172"/>
      <c r="Y122" s="172"/>
      <c r="Z122" s="172"/>
      <c r="AA122" s="172"/>
      <c r="AB122" s="172"/>
      <c r="AC122" s="172"/>
      <c r="AD122" s="172"/>
      <c r="AE122" s="172"/>
      <c r="AF122" s="172"/>
      <c r="AG122" s="172"/>
      <c r="AH122" s="172"/>
      <c r="AI122" s="172"/>
      <c r="AJ122" s="172"/>
      <c r="AK122" s="172"/>
      <c r="AL122" s="172"/>
      <c r="AM122" s="172"/>
      <c r="AN122" s="172"/>
      <c r="AO122" s="172"/>
      <c r="AP122" s="172"/>
      <c r="AQ122" s="172"/>
      <c r="AR122" s="172"/>
      <c r="AS122" s="172"/>
    </row>
    <row r="123" spans="3:45" ht="13.5" customHeight="1">
      <c r="K123" s="49"/>
      <c r="L123" s="49"/>
      <c r="M123" s="49"/>
      <c r="N123" s="49"/>
      <c r="O123" s="49"/>
      <c r="P123" s="49"/>
      <c r="Q123" s="49"/>
      <c r="T123" s="172"/>
      <c r="V123" s="273"/>
      <c r="W123" s="172"/>
      <c r="X123" s="172"/>
      <c r="Y123" s="172"/>
      <c r="Z123" s="172"/>
      <c r="AA123" s="172"/>
      <c r="AB123" s="172"/>
      <c r="AC123" s="172"/>
      <c r="AD123" s="172"/>
      <c r="AE123" s="172"/>
      <c r="AF123" s="172"/>
      <c r="AG123" s="172"/>
      <c r="AH123" s="172"/>
      <c r="AI123" s="172"/>
      <c r="AJ123" s="172"/>
      <c r="AK123" s="172"/>
      <c r="AL123" s="172"/>
      <c r="AM123" s="172"/>
      <c r="AN123" s="172"/>
      <c r="AO123" s="172"/>
      <c r="AP123" s="172"/>
      <c r="AQ123" s="172"/>
      <c r="AR123" s="172"/>
      <c r="AS123" s="172"/>
    </row>
    <row r="124" spans="3:45" ht="13.5" customHeight="1">
      <c r="K124" s="49"/>
      <c r="L124" s="49"/>
      <c r="M124" s="49"/>
      <c r="N124" s="49"/>
      <c r="O124" s="49"/>
      <c r="P124" s="49"/>
      <c r="Q124" s="49"/>
      <c r="T124" s="172"/>
      <c r="V124" s="273"/>
      <c r="W124" s="172"/>
      <c r="X124" s="172"/>
      <c r="Y124" s="172"/>
      <c r="Z124" s="172"/>
      <c r="AA124" s="172"/>
      <c r="AB124" s="172"/>
      <c r="AC124" s="172"/>
      <c r="AD124" s="172"/>
      <c r="AE124" s="172"/>
      <c r="AF124" s="172"/>
      <c r="AG124" s="172"/>
      <c r="AH124" s="172"/>
      <c r="AI124" s="172"/>
      <c r="AJ124" s="172"/>
      <c r="AK124" s="172"/>
      <c r="AL124" s="172"/>
      <c r="AM124" s="172"/>
      <c r="AN124" s="172"/>
      <c r="AO124" s="172"/>
      <c r="AP124" s="172"/>
      <c r="AQ124" s="172"/>
      <c r="AR124" s="172"/>
      <c r="AS124" s="172"/>
    </row>
    <row r="125" spans="3:45" ht="13.5" customHeight="1">
      <c r="K125" s="49"/>
      <c r="L125" s="49"/>
      <c r="M125" s="49"/>
      <c r="N125" s="49"/>
      <c r="O125" s="49"/>
      <c r="P125" s="49"/>
      <c r="Q125" s="49"/>
      <c r="T125" s="172"/>
      <c r="V125" s="273"/>
      <c r="W125" s="172"/>
      <c r="X125" s="172"/>
      <c r="Y125" s="172"/>
      <c r="Z125" s="172"/>
      <c r="AA125" s="172"/>
      <c r="AB125" s="172"/>
      <c r="AC125" s="172"/>
      <c r="AD125" s="172"/>
      <c r="AE125" s="172"/>
      <c r="AF125" s="172"/>
      <c r="AG125" s="172"/>
      <c r="AH125" s="172"/>
      <c r="AI125" s="172"/>
      <c r="AJ125" s="172"/>
      <c r="AK125" s="172"/>
      <c r="AL125" s="172"/>
      <c r="AM125" s="172"/>
      <c r="AN125" s="172"/>
      <c r="AO125" s="172"/>
      <c r="AP125" s="172"/>
      <c r="AQ125" s="172"/>
      <c r="AR125" s="172"/>
      <c r="AS125" s="172"/>
    </row>
    <row r="126" spans="3:45" ht="13.5" customHeight="1">
      <c r="K126" s="49"/>
      <c r="L126" s="49"/>
      <c r="M126" s="49"/>
      <c r="N126" s="49"/>
      <c r="O126" s="49"/>
      <c r="P126" s="49"/>
      <c r="Q126" s="49"/>
      <c r="T126" s="172"/>
      <c r="V126" s="273"/>
      <c r="W126" s="172"/>
      <c r="X126" s="172"/>
      <c r="Y126" s="172"/>
      <c r="Z126" s="172"/>
      <c r="AA126" s="172"/>
      <c r="AB126" s="172"/>
      <c r="AC126" s="172"/>
      <c r="AD126" s="172"/>
      <c r="AE126" s="172"/>
      <c r="AF126" s="172"/>
      <c r="AG126" s="172"/>
      <c r="AH126" s="172"/>
      <c r="AI126" s="172"/>
      <c r="AJ126" s="172"/>
      <c r="AK126" s="172"/>
      <c r="AL126" s="172"/>
      <c r="AM126" s="172"/>
      <c r="AN126" s="172"/>
      <c r="AO126" s="172"/>
      <c r="AP126" s="172"/>
      <c r="AQ126" s="172"/>
      <c r="AR126" s="172"/>
      <c r="AS126" s="172"/>
    </row>
    <row r="127" spans="3:45" ht="13.5" customHeight="1">
      <c r="K127" s="49"/>
      <c r="L127" s="49"/>
      <c r="M127" s="49"/>
      <c r="N127" s="49"/>
      <c r="O127" s="49"/>
      <c r="P127" s="49"/>
      <c r="Q127" s="49"/>
      <c r="T127" s="172"/>
      <c r="V127" s="273"/>
      <c r="W127" s="172"/>
      <c r="X127" s="172"/>
      <c r="Y127" s="172"/>
      <c r="Z127" s="172"/>
      <c r="AA127" s="172"/>
      <c r="AB127" s="172"/>
      <c r="AC127" s="172"/>
      <c r="AD127" s="172"/>
      <c r="AE127" s="172"/>
      <c r="AF127" s="172"/>
      <c r="AG127" s="172"/>
      <c r="AH127" s="172"/>
      <c r="AI127" s="172"/>
      <c r="AJ127" s="172"/>
      <c r="AK127" s="172"/>
      <c r="AL127" s="172"/>
      <c r="AM127" s="172"/>
      <c r="AN127" s="172"/>
      <c r="AO127" s="172"/>
      <c r="AP127" s="172"/>
      <c r="AQ127" s="172"/>
      <c r="AR127" s="172"/>
      <c r="AS127" s="172"/>
    </row>
    <row r="128" spans="3:45" ht="13.5" customHeight="1">
      <c r="K128" s="49"/>
      <c r="L128" s="49"/>
      <c r="M128" s="49"/>
      <c r="N128" s="49"/>
      <c r="O128" s="49"/>
      <c r="P128" s="49"/>
      <c r="Q128" s="49"/>
      <c r="T128" s="172"/>
      <c r="V128" s="273"/>
      <c r="W128" s="172"/>
      <c r="X128" s="172"/>
      <c r="Y128" s="172"/>
      <c r="Z128" s="172"/>
      <c r="AA128" s="172"/>
      <c r="AB128" s="172"/>
      <c r="AC128" s="172"/>
      <c r="AD128" s="172"/>
      <c r="AE128" s="172"/>
      <c r="AF128" s="172"/>
      <c r="AG128" s="172"/>
      <c r="AH128" s="172"/>
      <c r="AI128" s="172"/>
      <c r="AJ128" s="172"/>
      <c r="AK128" s="172"/>
      <c r="AL128" s="172"/>
      <c r="AM128" s="172"/>
      <c r="AN128" s="172"/>
      <c r="AO128" s="172"/>
      <c r="AP128" s="172"/>
      <c r="AQ128" s="172"/>
      <c r="AR128" s="172"/>
      <c r="AS128" s="172"/>
    </row>
    <row r="129" spans="11:45" ht="13.5" customHeight="1">
      <c r="K129" s="49"/>
      <c r="L129" s="49"/>
      <c r="M129" s="49"/>
      <c r="N129" s="49"/>
      <c r="O129" s="49"/>
      <c r="P129" s="49"/>
      <c r="Q129" s="49"/>
      <c r="T129" s="172"/>
      <c r="V129" s="273"/>
      <c r="W129" s="172"/>
      <c r="X129" s="172"/>
      <c r="Y129" s="172"/>
      <c r="Z129" s="172"/>
      <c r="AA129" s="172"/>
      <c r="AB129" s="172"/>
      <c r="AC129" s="172"/>
      <c r="AD129" s="172"/>
      <c r="AE129" s="172"/>
      <c r="AF129" s="172"/>
      <c r="AG129" s="172"/>
      <c r="AH129" s="172"/>
      <c r="AI129" s="172"/>
      <c r="AJ129" s="172"/>
      <c r="AK129" s="172"/>
      <c r="AL129" s="172"/>
      <c r="AM129" s="172"/>
      <c r="AN129" s="172"/>
      <c r="AO129" s="172"/>
      <c r="AP129" s="172"/>
      <c r="AQ129" s="172"/>
      <c r="AR129" s="172"/>
      <c r="AS129" s="172"/>
    </row>
    <row r="130" spans="11:45" ht="13.5" customHeight="1">
      <c r="K130" s="49"/>
      <c r="L130" s="49"/>
      <c r="M130" s="49"/>
      <c r="N130" s="49"/>
      <c r="O130" s="49"/>
      <c r="P130" s="49"/>
      <c r="Q130" s="49"/>
      <c r="T130" s="172"/>
      <c r="V130" s="273"/>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row>
    <row r="131" spans="11:45" ht="13.5" customHeight="1">
      <c r="K131" s="49"/>
      <c r="L131" s="49"/>
      <c r="M131" s="49"/>
      <c r="N131" s="49"/>
      <c r="O131" s="49"/>
      <c r="P131" s="49"/>
      <c r="Q131" s="49"/>
      <c r="T131" s="172"/>
      <c r="V131" s="273"/>
      <c r="W131" s="172"/>
      <c r="X131" s="172"/>
      <c r="Y131" s="172"/>
      <c r="Z131" s="172"/>
      <c r="AA131" s="172"/>
      <c r="AB131" s="172"/>
      <c r="AC131" s="172"/>
      <c r="AD131" s="172"/>
      <c r="AE131" s="172"/>
      <c r="AF131" s="172"/>
      <c r="AG131" s="172"/>
      <c r="AH131" s="172"/>
      <c r="AI131" s="172"/>
      <c r="AJ131" s="172"/>
      <c r="AK131" s="172"/>
      <c r="AL131" s="172"/>
      <c r="AM131" s="172"/>
      <c r="AN131" s="172"/>
      <c r="AO131" s="172"/>
      <c r="AP131" s="172"/>
      <c r="AQ131" s="172"/>
      <c r="AR131" s="172"/>
      <c r="AS131" s="172"/>
    </row>
    <row r="132" spans="11:45" ht="13.5" customHeight="1">
      <c r="K132" s="49"/>
      <c r="L132" s="49"/>
      <c r="M132" s="49"/>
      <c r="N132" s="49"/>
      <c r="O132" s="49"/>
      <c r="P132" s="49"/>
      <c r="Q132" s="49"/>
      <c r="T132" s="172"/>
      <c r="V132" s="273"/>
      <c r="W132" s="172"/>
      <c r="X132" s="172"/>
      <c r="Y132" s="172"/>
      <c r="Z132" s="172"/>
      <c r="AA132" s="172"/>
      <c r="AB132" s="172"/>
      <c r="AC132" s="172"/>
      <c r="AD132" s="172"/>
      <c r="AE132" s="172"/>
      <c r="AF132" s="172"/>
      <c r="AG132" s="172"/>
      <c r="AH132" s="172"/>
      <c r="AI132" s="172"/>
      <c r="AJ132" s="172"/>
      <c r="AK132" s="172"/>
      <c r="AL132" s="172"/>
      <c r="AM132" s="172"/>
      <c r="AN132" s="172"/>
      <c r="AO132" s="172"/>
      <c r="AP132" s="172"/>
      <c r="AQ132" s="172"/>
      <c r="AR132" s="172"/>
      <c r="AS132" s="172"/>
    </row>
    <row r="133" spans="11:45" ht="13.5" customHeight="1">
      <c r="K133" s="49"/>
      <c r="L133" s="49"/>
      <c r="M133" s="49"/>
      <c r="N133" s="49"/>
      <c r="O133" s="49"/>
      <c r="P133" s="49"/>
      <c r="Q133" s="49"/>
      <c r="T133" s="172"/>
      <c r="V133" s="273"/>
      <c r="W133" s="172"/>
      <c r="X133" s="172"/>
      <c r="Y133" s="172"/>
      <c r="Z133" s="172"/>
      <c r="AA133" s="172"/>
      <c r="AB133" s="172"/>
      <c r="AC133" s="172"/>
      <c r="AD133" s="172"/>
      <c r="AE133" s="172"/>
      <c r="AF133" s="172"/>
      <c r="AG133" s="172"/>
      <c r="AH133" s="172"/>
      <c r="AI133" s="172"/>
      <c r="AJ133" s="172"/>
      <c r="AK133" s="172"/>
      <c r="AL133" s="172"/>
      <c r="AM133" s="172"/>
      <c r="AN133" s="172"/>
      <c r="AO133" s="172"/>
      <c r="AP133" s="172"/>
      <c r="AQ133" s="172"/>
      <c r="AR133" s="172"/>
      <c r="AS133" s="172"/>
    </row>
    <row r="134" spans="11:45" ht="13.5" customHeight="1">
      <c r="K134" s="49"/>
      <c r="L134" s="49"/>
      <c r="M134" s="49"/>
      <c r="N134" s="49"/>
      <c r="O134" s="49"/>
      <c r="P134" s="49"/>
      <c r="Q134" s="49"/>
      <c r="T134" s="172"/>
      <c r="V134" s="273"/>
      <c r="W134" s="172"/>
      <c r="X134" s="172"/>
      <c r="Y134" s="172"/>
      <c r="Z134" s="172"/>
      <c r="AA134" s="172"/>
      <c r="AB134" s="172"/>
      <c r="AC134" s="172"/>
      <c r="AD134" s="172"/>
      <c r="AE134" s="172"/>
      <c r="AF134" s="172"/>
      <c r="AG134" s="172"/>
      <c r="AH134" s="172"/>
      <c r="AI134" s="172"/>
      <c r="AJ134" s="172"/>
      <c r="AK134" s="172"/>
      <c r="AL134" s="172"/>
      <c r="AM134" s="172"/>
      <c r="AN134" s="172"/>
      <c r="AO134" s="172"/>
      <c r="AP134" s="172"/>
      <c r="AQ134" s="172"/>
      <c r="AR134" s="172"/>
      <c r="AS134" s="172"/>
    </row>
    <row r="135" spans="11:45" ht="13.5" customHeight="1">
      <c r="K135" s="49"/>
      <c r="L135" s="49"/>
      <c r="M135" s="49"/>
      <c r="N135" s="49"/>
      <c r="O135" s="49"/>
      <c r="P135" s="49"/>
      <c r="Q135" s="49"/>
      <c r="T135" s="172"/>
      <c r="V135" s="273"/>
      <c r="W135" s="172"/>
      <c r="X135" s="172"/>
      <c r="Y135" s="172"/>
      <c r="Z135" s="172"/>
      <c r="AA135" s="172"/>
      <c r="AB135" s="172"/>
      <c r="AC135" s="172"/>
      <c r="AD135" s="172"/>
      <c r="AE135" s="172"/>
      <c r="AF135" s="172"/>
      <c r="AG135" s="172"/>
      <c r="AH135" s="172"/>
      <c r="AI135" s="172"/>
      <c r="AJ135" s="172"/>
      <c r="AK135" s="172"/>
      <c r="AL135" s="172"/>
      <c r="AM135" s="172"/>
      <c r="AN135" s="172"/>
      <c r="AO135" s="172"/>
      <c r="AP135" s="172"/>
      <c r="AQ135" s="172"/>
      <c r="AR135" s="172"/>
      <c r="AS135" s="172"/>
    </row>
    <row r="136" spans="11:45" ht="13.5" customHeight="1">
      <c r="K136" s="49"/>
      <c r="L136" s="49"/>
      <c r="M136" s="49"/>
      <c r="N136" s="49"/>
      <c r="O136" s="49"/>
      <c r="P136" s="49"/>
      <c r="Q136" s="49"/>
      <c r="T136" s="172"/>
      <c r="V136" s="273"/>
      <c r="W136" s="172"/>
      <c r="X136" s="172"/>
      <c r="Y136" s="172"/>
      <c r="Z136" s="172"/>
      <c r="AA136" s="172"/>
      <c r="AB136" s="172"/>
      <c r="AC136" s="172"/>
      <c r="AD136" s="172"/>
      <c r="AE136" s="172"/>
      <c r="AF136" s="172"/>
      <c r="AG136" s="172"/>
      <c r="AH136" s="172"/>
      <c r="AI136" s="172"/>
      <c r="AJ136" s="172"/>
      <c r="AK136" s="172"/>
      <c r="AL136" s="172"/>
      <c r="AM136" s="172"/>
      <c r="AN136" s="172"/>
      <c r="AO136" s="172"/>
      <c r="AP136" s="172"/>
      <c r="AQ136" s="172"/>
      <c r="AR136" s="172"/>
      <c r="AS136" s="172"/>
    </row>
    <row r="137" spans="11:45" ht="13.5" customHeight="1">
      <c r="K137" s="49"/>
      <c r="L137" s="49"/>
      <c r="M137" s="49"/>
      <c r="N137" s="49"/>
      <c r="O137" s="49"/>
      <c r="P137" s="49"/>
      <c r="Q137" s="49"/>
      <c r="T137" s="172"/>
      <c r="V137" s="273"/>
      <c r="W137" s="172"/>
      <c r="X137" s="172"/>
      <c r="Y137" s="172"/>
      <c r="Z137" s="172"/>
      <c r="AA137" s="172"/>
      <c r="AB137" s="172"/>
      <c r="AC137" s="172"/>
      <c r="AD137" s="172"/>
      <c r="AE137" s="172"/>
      <c r="AF137" s="172"/>
      <c r="AG137" s="172"/>
      <c r="AH137" s="172"/>
      <c r="AI137" s="172"/>
      <c r="AJ137" s="172"/>
      <c r="AK137" s="172"/>
      <c r="AL137" s="172"/>
      <c r="AM137" s="172"/>
      <c r="AN137" s="172"/>
      <c r="AO137" s="172"/>
      <c r="AP137" s="172"/>
      <c r="AQ137" s="172"/>
      <c r="AR137" s="172"/>
      <c r="AS137" s="172"/>
    </row>
    <row r="138" spans="11:45" ht="13.5" customHeight="1">
      <c r="K138" s="49"/>
      <c r="L138" s="49"/>
      <c r="M138" s="49"/>
      <c r="N138" s="49"/>
      <c r="O138" s="49"/>
      <c r="P138" s="49"/>
      <c r="Q138" s="49"/>
      <c r="T138" s="172"/>
      <c r="V138" s="273"/>
      <c r="W138" s="172"/>
      <c r="X138" s="172"/>
      <c r="Y138" s="172"/>
      <c r="Z138" s="172"/>
      <c r="AA138" s="172"/>
      <c r="AB138" s="172"/>
      <c r="AC138" s="172"/>
      <c r="AD138" s="172"/>
      <c r="AE138" s="172"/>
      <c r="AF138" s="172"/>
      <c r="AG138" s="172"/>
      <c r="AH138" s="172"/>
      <c r="AI138" s="172"/>
      <c r="AJ138" s="172"/>
      <c r="AK138" s="172"/>
      <c r="AL138" s="172"/>
      <c r="AM138" s="172"/>
      <c r="AN138" s="172"/>
      <c r="AO138" s="172"/>
      <c r="AP138" s="172"/>
      <c r="AQ138" s="172"/>
      <c r="AR138" s="172"/>
      <c r="AS138" s="172"/>
    </row>
    <row r="139" spans="11:45" ht="13.5" customHeight="1">
      <c r="K139" s="49"/>
      <c r="L139" s="49"/>
      <c r="M139" s="49"/>
      <c r="N139" s="49"/>
      <c r="O139" s="49"/>
      <c r="P139" s="49"/>
      <c r="Q139" s="49"/>
      <c r="T139" s="172"/>
      <c r="V139" s="273"/>
      <c r="W139" s="172"/>
      <c r="X139" s="172"/>
      <c r="Y139" s="172"/>
      <c r="Z139" s="172"/>
      <c r="AA139" s="172"/>
      <c r="AB139" s="172"/>
      <c r="AC139" s="172"/>
      <c r="AD139" s="172"/>
      <c r="AE139" s="172"/>
      <c r="AF139" s="172"/>
      <c r="AG139" s="172"/>
      <c r="AH139" s="172"/>
      <c r="AI139" s="172"/>
      <c r="AJ139" s="172"/>
      <c r="AK139" s="172"/>
      <c r="AL139" s="172"/>
      <c r="AM139" s="172"/>
      <c r="AN139" s="172"/>
      <c r="AO139" s="172"/>
      <c r="AP139" s="172"/>
      <c r="AQ139" s="172"/>
      <c r="AR139" s="172"/>
      <c r="AS139" s="172"/>
    </row>
    <row r="140" spans="11:45" ht="13.5" customHeight="1">
      <c r="K140" s="49"/>
      <c r="L140" s="49"/>
      <c r="M140" s="49"/>
      <c r="N140" s="49"/>
      <c r="O140" s="49"/>
      <c r="P140" s="49"/>
      <c r="Q140" s="49"/>
      <c r="T140" s="172"/>
      <c r="V140" s="273"/>
      <c r="W140" s="172"/>
      <c r="X140" s="172"/>
      <c r="Y140" s="172"/>
      <c r="Z140" s="172"/>
      <c r="AA140" s="172"/>
      <c r="AB140" s="172"/>
      <c r="AC140" s="172"/>
      <c r="AD140" s="172"/>
      <c r="AE140" s="172"/>
      <c r="AF140" s="172"/>
      <c r="AG140" s="172"/>
      <c r="AH140" s="172"/>
      <c r="AI140" s="172"/>
      <c r="AJ140" s="172"/>
      <c r="AK140" s="172"/>
      <c r="AL140" s="172"/>
      <c r="AM140" s="172"/>
      <c r="AN140" s="172"/>
      <c r="AO140" s="172"/>
      <c r="AP140" s="172"/>
      <c r="AQ140" s="172"/>
      <c r="AR140" s="172"/>
      <c r="AS140" s="172"/>
    </row>
    <row r="141" spans="11:45" ht="13.5" customHeight="1">
      <c r="K141" s="49"/>
      <c r="L141" s="49"/>
      <c r="M141" s="49"/>
      <c r="N141" s="49"/>
      <c r="O141" s="49"/>
      <c r="P141" s="49"/>
      <c r="Q141" s="49"/>
      <c r="T141" s="172"/>
      <c r="V141" s="273"/>
      <c r="W141" s="172"/>
      <c r="X141" s="172"/>
      <c r="Y141" s="172"/>
      <c r="Z141" s="172"/>
      <c r="AA141" s="172"/>
      <c r="AB141" s="172"/>
      <c r="AC141" s="172"/>
      <c r="AD141" s="172"/>
      <c r="AE141" s="172"/>
      <c r="AF141" s="172"/>
      <c r="AG141" s="172"/>
      <c r="AH141" s="172"/>
      <c r="AI141" s="172"/>
      <c r="AJ141" s="172"/>
      <c r="AK141" s="172"/>
      <c r="AL141" s="172"/>
      <c r="AM141" s="172"/>
      <c r="AN141" s="172"/>
      <c r="AO141" s="172"/>
      <c r="AP141" s="172"/>
      <c r="AQ141" s="172"/>
      <c r="AR141" s="172"/>
      <c r="AS141" s="172"/>
    </row>
    <row r="142" spans="11:45" ht="13.5" customHeight="1">
      <c r="K142" s="49"/>
      <c r="L142" s="49"/>
      <c r="M142" s="49"/>
      <c r="N142" s="49"/>
      <c r="O142" s="49"/>
      <c r="P142" s="49"/>
      <c r="Q142" s="49"/>
      <c r="T142" s="172"/>
      <c r="V142" s="273"/>
      <c r="W142" s="172"/>
      <c r="X142" s="172"/>
      <c r="Y142" s="172"/>
      <c r="Z142" s="172"/>
      <c r="AA142" s="172"/>
      <c r="AB142" s="172"/>
      <c r="AC142" s="172"/>
      <c r="AD142" s="172"/>
      <c r="AE142" s="172"/>
      <c r="AF142" s="172"/>
      <c r="AG142" s="172"/>
      <c r="AH142" s="172"/>
      <c r="AI142" s="172"/>
      <c r="AJ142" s="172"/>
      <c r="AK142" s="172"/>
      <c r="AL142" s="172"/>
      <c r="AM142" s="172"/>
      <c r="AN142" s="172"/>
      <c r="AO142" s="172"/>
      <c r="AP142" s="172"/>
      <c r="AQ142" s="172"/>
      <c r="AR142" s="172"/>
      <c r="AS142" s="172"/>
    </row>
    <row r="143" spans="11:45" ht="13.5" customHeight="1">
      <c r="K143" s="49"/>
      <c r="L143" s="49"/>
      <c r="M143" s="49"/>
      <c r="N143" s="49"/>
      <c r="O143" s="49"/>
      <c r="P143" s="49"/>
      <c r="Q143" s="49"/>
      <c r="T143" s="172"/>
      <c r="V143" s="273"/>
      <c r="W143" s="172"/>
      <c r="X143" s="172"/>
      <c r="Y143" s="172"/>
      <c r="Z143" s="172"/>
      <c r="AA143" s="172"/>
      <c r="AB143" s="172"/>
      <c r="AC143" s="172"/>
      <c r="AD143" s="172"/>
      <c r="AE143" s="172"/>
      <c r="AF143" s="172"/>
      <c r="AG143" s="172"/>
      <c r="AH143" s="172"/>
      <c r="AI143" s="172"/>
      <c r="AJ143" s="172"/>
      <c r="AK143" s="172"/>
      <c r="AL143" s="172"/>
      <c r="AM143" s="172"/>
      <c r="AN143" s="172"/>
      <c r="AO143" s="172"/>
      <c r="AP143" s="172"/>
      <c r="AQ143" s="172"/>
      <c r="AR143" s="172"/>
      <c r="AS143" s="172"/>
    </row>
    <row r="144" spans="11:45" ht="13.5" customHeight="1">
      <c r="K144" s="49"/>
      <c r="L144" s="49"/>
      <c r="M144" s="49"/>
      <c r="N144" s="49"/>
      <c r="O144" s="49"/>
      <c r="P144" s="49"/>
      <c r="Q144" s="49"/>
      <c r="T144" s="172"/>
      <c r="V144" s="273"/>
      <c r="W144" s="172"/>
      <c r="X144" s="172"/>
      <c r="Y144" s="172"/>
      <c r="Z144" s="172"/>
      <c r="AA144" s="172"/>
      <c r="AB144" s="172"/>
      <c r="AC144" s="172"/>
      <c r="AD144" s="172"/>
      <c r="AE144" s="172"/>
      <c r="AF144" s="172"/>
      <c r="AG144" s="172"/>
      <c r="AH144" s="172"/>
      <c r="AI144" s="172"/>
      <c r="AJ144" s="172"/>
      <c r="AK144" s="172"/>
      <c r="AL144" s="172"/>
      <c r="AM144" s="172"/>
      <c r="AN144" s="172"/>
      <c r="AO144" s="172"/>
      <c r="AP144" s="172"/>
      <c r="AQ144" s="172"/>
      <c r="AR144" s="172"/>
      <c r="AS144" s="172"/>
    </row>
    <row r="145" spans="11:45" ht="13.5" customHeight="1">
      <c r="K145" s="49"/>
      <c r="L145" s="49"/>
      <c r="M145" s="49"/>
      <c r="N145" s="49"/>
      <c r="O145" s="49"/>
      <c r="P145" s="49"/>
      <c r="Q145" s="49"/>
      <c r="T145" s="172"/>
      <c r="V145" s="273"/>
      <c r="W145" s="172"/>
      <c r="X145" s="172"/>
      <c r="Y145" s="172"/>
      <c r="Z145" s="172"/>
      <c r="AA145" s="172"/>
      <c r="AB145" s="172"/>
      <c r="AC145" s="172"/>
      <c r="AD145" s="172"/>
      <c r="AE145" s="172"/>
      <c r="AF145" s="172"/>
      <c r="AG145" s="172"/>
      <c r="AH145" s="172"/>
      <c r="AI145" s="172"/>
      <c r="AJ145" s="172"/>
      <c r="AK145" s="172"/>
      <c r="AL145" s="172"/>
      <c r="AM145" s="172"/>
      <c r="AN145" s="172"/>
      <c r="AO145" s="172"/>
      <c r="AP145" s="172"/>
      <c r="AQ145" s="172"/>
      <c r="AR145" s="172"/>
      <c r="AS145" s="172"/>
    </row>
    <row r="146" spans="11:45" ht="13.5" customHeight="1">
      <c r="K146" s="49"/>
      <c r="L146" s="49"/>
      <c r="M146" s="49"/>
      <c r="N146" s="49"/>
      <c r="O146" s="49"/>
      <c r="P146" s="49"/>
      <c r="Q146" s="49"/>
      <c r="T146" s="172"/>
      <c r="V146" s="273"/>
      <c r="W146" s="172"/>
      <c r="X146" s="172"/>
      <c r="Y146" s="172"/>
      <c r="Z146" s="172"/>
      <c r="AA146" s="172"/>
      <c r="AB146" s="172"/>
      <c r="AC146" s="172"/>
      <c r="AD146" s="172"/>
      <c r="AE146" s="172"/>
      <c r="AF146" s="172"/>
      <c r="AG146" s="172"/>
      <c r="AH146" s="172"/>
      <c r="AI146" s="172"/>
      <c r="AJ146" s="172"/>
      <c r="AK146" s="172"/>
      <c r="AL146" s="172"/>
      <c r="AM146" s="172"/>
      <c r="AN146" s="172"/>
      <c r="AO146" s="172"/>
      <c r="AP146" s="172"/>
      <c r="AQ146" s="172"/>
      <c r="AR146" s="172"/>
      <c r="AS146" s="172"/>
    </row>
    <row r="147" spans="11:45" ht="13.5" customHeight="1">
      <c r="K147" s="49"/>
      <c r="L147" s="49"/>
      <c r="M147" s="49"/>
      <c r="N147" s="49"/>
      <c r="O147" s="49"/>
      <c r="P147" s="49"/>
      <c r="Q147" s="49"/>
      <c r="T147" s="172"/>
      <c r="V147" s="273"/>
      <c r="W147" s="172"/>
      <c r="X147" s="172"/>
      <c r="Y147" s="172"/>
      <c r="Z147" s="172"/>
      <c r="AA147" s="172"/>
      <c r="AB147" s="172"/>
      <c r="AC147" s="172"/>
      <c r="AD147" s="172"/>
      <c r="AE147" s="172"/>
      <c r="AF147" s="172"/>
      <c r="AG147" s="172"/>
      <c r="AH147" s="172"/>
      <c r="AI147" s="172"/>
      <c r="AJ147" s="172"/>
      <c r="AK147" s="172"/>
      <c r="AL147" s="172"/>
      <c r="AM147" s="172"/>
      <c r="AN147" s="172"/>
      <c r="AO147" s="172"/>
      <c r="AP147" s="172"/>
      <c r="AQ147" s="172"/>
      <c r="AR147" s="172"/>
      <c r="AS147" s="172"/>
    </row>
    <row r="148" spans="11:45" ht="13.5" customHeight="1">
      <c r="K148" s="49"/>
      <c r="L148" s="49"/>
      <c r="M148" s="49"/>
      <c r="N148" s="49"/>
      <c r="O148" s="49"/>
      <c r="P148" s="49"/>
      <c r="Q148" s="49"/>
      <c r="T148" s="172"/>
      <c r="V148" s="273"/>
      <c r="W148" s="172"/>
      <c r="X148" s="172"/>
      <c r="Y148" s="172"/>
      <c r="Z148" s="172"/>
      <c r="AA148" s="172"/>
      <c r="AB148" s="172"/>
      <c r="AC148" s="172"/>
      <c r="AD148" s="172"/>
      <c r="AE148" s="172"/>
      <c r="AF148" s="172"/>
      <c r="AG148" s="172"/>
      <c r="AH148" s="172"/>
      <c r="AI148" s="172"/>
      <c r="AJ148" s="172"/>
      <c r="AK148" s="172"/>
      <c r="AL148" s="172"/>
      <c r="AM148" s="172"/>
      <c r="AN148" s="172"/>
      <c r="AO148" s="172"/>
      <c r="AP148" s="172"/>
      <c r="AQ148" s="172"/>
      <c r="AR148" s="172"/>
      <c r="AS148" s="172"/>
    </row>
    <row r="149" spans="11:45" ht="13.5" customHeight="1">
      <c r="K149" s="49"/>
      <c r="L149" s="49"/>
      <c r="M149" s="49"/>
      <c r="N149" s="49"/>
      <c r="O149" s="49"/>
      <c r="P149" s="49"/>
      <c r="Q149" s="49"/>
      <c r="T149" s="172"/>
      <c r="V149" s="273"/>
      <c r="W149" s="172"/>
      <c r="X149" s="172"/>
      <c r="Y149" s="172"/>
      <c r="Z149" s="172"/>
      <c r="AA149" s="172"/>
      <c r="AB149" s="172"/>
      <c r="AC149" s="172"/>
      <c r="AD149" s="172"/>
      <c r="AE149" s="172"/>
      <c r="AF149" s="172"/>
      <c r="AG149" s="172"/>
      <c r="AH149" s="172"/>
      <c r="AI149" s="172"/>
      <c r="AJ149" s="172"/>
      <c r="AK149" s="172"/>
      <c r="AL149" s="172"/>
      <c r="AM149" s="172"/>
      <c r="AN149" s="172"/>
      <c r="AO149" s="172"/>
      <c r="AP149" s="172"/>
      <c r="AQ149" s="172"/>
      <c r="AR149" s="172"/>
      <c r="AS149" s="172"/>
    </row>
    <row r="150" spans="11:45" ht="13.5" customHeight="1">
      <c r="K150" s="49"/>
      <c r="L150" s="49"/>
      <c r="M150" s="49"/>
      <c r="N150" s="49"/>
      <c r="O150" s="49"/>
      <c r="P150" s="49"/>
      <c r="Q150" s="49"/>
      <c r="T150" s="172"/>
      <c r="V150" s="273"/>
      <c r="W150" s="172"/>
      <c r="X150" s="172"/>
      <c r="Y150" s="172"/>
      <c r="Z150" s="172"/>
      <c r="AA150" s="172"/>
      <c r="AB150" s="172"/>
      <c r="AC150" s="172"/>
      <c r="AD150" s="172"/>
      <c r="AE150" s="172"/>
      <c r="AF150" s="172"/>
      <c r="AG150" s="172"/>
      <c r="AH150" s="172"/>
      <c r="AI150" s="172"/>
      <c r="AJ150" s="172"/>
      <c r="AK150" s="172"/>
      <c r="AL150" s="172"/>
      <c r="AM150" s="172"/>
      <c r="AN150" s="172"/>
      <c r="AO150" s="172"/>
      <c r="AP150" s="172"/>
      <c r="AQ150" s="172"/>
      <c r="AR150" s="172"/>
      <c r="AS150" s="172"/>
    </row>
    <row r="151" spans="11:45" ht="13.5" customHeight="1">
      <c r="K151" s="49"/>
      <c r="L151" s="49"/>
      <c r="M151" s="49"/>
      <c r="N151" s="49"/>
      <c r="O151" s="49"/>
      <c r="P151" s="49"/>
      <c r="Q151" s="49"/>
      <c r="T151" s="172"/>
      <c r="V151" s="273"/>
      <c r="W151" s="172"/>
      <c r="X151" s="172"/>
      <c r="Y151" s="172"/>
      <c r="Z151" s="172"/>
      <c r="AA151" s="172"/>
      <c r="AB151" s="172"/>
      <c r="AC151" s="172"/>
      <c r="AD151" s="172"/>
      <c r="AE151" s="172"/>
      <c r="AF151" s="172"/>
      <c r="AG151" s="172"/>
      <c r="AH151" s="172"/>
      <c r="AI151" s="172"/>
      <c r="AJ151" s="172"/>
      <c r="AK151" s="172"/>
      <c r="AL151" s="172"/>
      <c r="AM151" s="172"/>
      <c r="AN151" s="172"/>
      <c r="AO151" s="172"/>
      <c r="AP151" s="172"/>
      <c r="AQ151" s="172"/>
      <c r="AR151" s="172"/>
      <c r="AS151" s="172"/>
    </row>
    <row r="152" spans="11:45" ht="13.5" customHeight="1">
      <c r="K152" s="49"/>
      <c r="L152" s="49"/>
      <c r="M152" s="49"/>
      <c r="N152" s="49"/>
      <c r="O152" s="49"/>
      <c r="P152" s="49"/>
      <c r="Q152" s="49"/>
      <c r="T152" s="172"/>
      <c r="V152" s="273"/>
      <c r="W152" s="172"/>
      <c r="X152" s="172"/>
      <c r="Y152" s="172"/>
      <c r="Z152" s="172"/>
      <c r="AA152" s="172"/>
      <c r="AB152" s="172"/>
      <c r="AC152" s="172"/>
      <c r="AD152" s="172"/>
      <c r="AE152" s="172"/>
      <c r="AF152" s="172"/>
      <c r="AG152" s="172"/>
      <c r="AH152" s="172"/>
      <c r="AI152" s="172"/>
      <c r="AJ152" s="172"/>
      <c r="AK152" s="172"/>
      <c r="AL152" s="172"/>
      <c r="AM152" s="172"/>
      <c r="AN152" s="172"/>
      <c r="AO152" s="172"/>
      <c r="AP152" s="172"/>
      <c r="AQ152" s="172"/>
      <c r="AR152" s="172"/>
      <c r="AS152" s="172"/>
    </row>
    <row r="153" spans="11:45" ht="13.5" customHeight="1">
      <c r="K153" s="49"/>
      <c r="L153" s="49"/>
      <c r="M153" s="49"/>
      <c r="N153" s="49"/>
      <c r="O153" s="49"/>
      <c r="P153" s="49"/>
      <c r="Q153" s="49"/>
      <c r="T153" s="172"/>
      <c r="V153" s="273"/>
      <c r="W153" s="172"/>
      <c r="X153" s="172"/>
      <c r="Y153" s="172"/>
      <c r="Z153" s="172"/>
      <c r="AA153" s="172"/>
      <c r="AB153" s="172"/>
      <c r="AC153" s="172"/>
      <c r="AD153" s="172"/>
      <c r="AE153" s="172"/>
      <c r="AF153" s="172"/>
      <c r="AG153" s="172"/>
      <c r="AH153" s="172"/>
      <c r="AI153" s="172"/>
      <c r="AJ153" s="172"/>
      <c r="AK153" s="172"/>
      <c r="AL153" s="172"/>
      <c r="AM153" s="172"/>
      <c r="AN153" s="172"/>
      <c r="AO153" s="172"/>
      <c r="AP153" s="172"/>
      <c r="AQ153" s="172"/>
      <c r="AR153" s="172"/>
      <c r="AS153" s="172"/>
    </row>
    <row r="154" spans="11:45" ht="13.5" customHeight="1">
      <c r="K154" s="49"/>
      <c r="L154" s="49"/>
      <c r="M154" s="49"/>
      <c r="N154" s="49"/>
      <c r="O154" s="49"/>
      <c r="P154" s="49"/>
      <c r="Q154" s="49"/>
      <c r="T154" s="172"/>
      <c r="V154" s="273"/>
      <c r="W154" s="172"/>
      <c r="X154" s="172"/>
      <c r="Y154" s="172"/>
      <c r="Z154" s="172"/>
      <c r="AA154" s="172"/>
      <c r="AB154" s="172"/>
      <c r="AC154" s="172"/>
      <c r="AD154" s="172"/>
      <c r="AE154" s="172"/>
      <c r="AF154" s="172"/>
      <c r="AG154" s="172"/>
      <c r="AH154" s="172"/>
      <c r="AI154" s="172"/>
      <c r="AJ154" s="172"/>
      <c r="AK154" s="172"/>
      <c r="AL154" s="172"/>
      <c r="AM154" s="172"/>
      <c r="AN154" s="172"/>
      <c r="AO154" s="172"/>
      <c r="AP154" s="172"/>
      <c r="AQ154" s="172"/>
      <c r="AR154" s="172"/>
      <c r="AS154" s="172"/>
    </row>
    <row r="155" spans="11:45" ht="13.5" customHeight="1">
      <c r="K155" s="49"/>
      <c r="L155" s="49"/>
      <c r="M155" s="49"/>
      <c r="N155" s="49"/>
      <c r="O155" s="49"/>
      <c r="P155" s="49"/>
      <c r="Q155" s="49"/>
      <c r="T155" s="172"/>
      <c r="V155" s="273"/>
      <c r="W155" s="172"/>
      <c r="X155" s="172"/>
      <c r="Y155" s="172"/>
      <c r="Z155" s="172"/>
      <c r="AA155" s="172"/>
      <c r="AB155" s="172"/>
      <c r="AC155" s="172"/>
      <c r="AD155" s="172"/>
      <c r="AE155" s="172"/>
      <c r="AF155" s="172"/>
      <c r="AG155" s="172"/>
      <c r="AH155" s="172"/>
      <c r="AI155" s="172"/>
      <c r="AJ155" s="172"/>
      <c r="AK155" s="172"/>
      <c r="AL155" s="172"/>
      <c r="AM155" s="172"/>
      <c r="AN155" s="172"/>
      <c r="AO155" s="172"/>
      <c r="AP155" s="172"/>
      <c r="AQ155" s="172"/>
      <c r="AR155" s="172"/>
      <c r="AS155" s="172"/>
    </row>
    <row r="156" spans="11:45" ht="13.5" customHeight="1">
      <c r="K156" s="49"/>
      <c r="L156" s="49"/>
      <c r="M156" s="49"/>
      <c r="N156" s="49"/>
      <c r="O156" s="49"/>
      <c r="P156" s="49"/>
      <c r="Q156" s="49"/>
      <c r="T156" s="172"/>
      <c r="V156" s="273"/>
      <c r="W156" s="172"/>
      <c r="X156" s="172"/>
      <c r="Y156" s="172"/>
      <c r="Z156" s="172"/>
      <c r="AA156" s="172"/>
      <c r="AB156" s="172"/>
      <c r="AC156" s="172"/>
      <c r="AD156" s="172"/>
      <c r="AE156" s="172"/>
      <c r="AF156" s="172"/>
      <c r="AG156" s="172"/>
      <c r="AH156" s="172"/>
      <c r="AI156" s="172"/>
      <c r="AJ156" s="172"/>
      <c r="AK156" s="172"/>
      <c r="AL156" s="172"/>
      <c r="AM156" s="172"/>
      <c r="AN156" s="172"/>
      <c r="AO156" s="172"/>
      <c r="AP156" s="172"/>
      <c r="AQ156" s="172"/>
      <c r="AR156" s="172"/>
      <c r="AS156" s="172"/>
    </row>
    <row r="157" spans="11:45" ht="13.5" customHeight="1">
      <c r="K157" s="49"/>
      <c r="L157" s="49"/>
      <c r="M157" s="49"/>
      <c r="N157" s="49"/>
      <c r="O157" s="49"/>
      <c r="P157" s="49"/>
      <c r="Q157" s="49"/>
      <c r="T157" s="172"/>
      <c r="V157" s="273"/>
      <c r="W157" s="172"/>
      <c r="X157" s="172"/>
      <c r="Y157" s="172"/>
      <c r="Z157" s="172"/>
      <c r="AA157" s="172"/>
      <c r="AB157" s="172"/>
      <c r="AC157" s="172"/>
      <c r="AD157" s="172"/>
      <c r="AE157" s="172"/>
      <c r="AF157" s="172"/>
      <c r="AG157" s="172"/>
      <c r="AH157" s="172"/>
      <c r="AI157" s="172"/>
      <c r="AJ157" s="172"/>
      <c r="AK157" s="172"/>
      <c r="AL157" s="172"/>
      <c r="AM157" s="172"/>
      <c r="AN157" s="172"/>
      <c r="AO157" s="172"/>
      <c r="AP157" s="172"/>
      <c r="AQ157" s="172"/>
      <c r="AR157" s="172"/>
      <c r="AS157" s="172"/>
    </row>
    <row r="158" spans="11:45" ht="13.5" customHeight="1">
      <c r="K158" s="49"/>
      <c r="L158" s="49"/>
      <c r="M158" s="49"/>
      <c r="N158" s="49"/>
      <c r="O158" s="49"/>
      <c r="P158" s="49"/>
      <c r="Q158" s="49"/>
      <c r="T158" s="172"/>
      <c r="V158" s="273"/>
      <c r="W158" s="172"/>
      <c r="X158" s="172"/>
      <c r="Y158" s="172"/>
      <c r="Z158" s="172"/>
      <c r="AA158" s="172"/>
      <c r="AB158" s="172"/>
      <c r="AC158" s="172"/>
      <c r="AD158" s="172"/>
      <c r="AE158" s="172"/>
      <c r="AF158" s="172"/>
      <c r="AG158" s="172"/>
      <c r="AH158" s="172"/>
      <c r="AI158" s="172"/>
      <c r="AJ158" s="172"/>
      <c r="AK158" s="172"/>
      <c r="AL158" s="172"/>
      <c r="AM158" s="172"/>
      <c r="AN158" s="172"/>
      <c r="AO158" s="172"/>
      <c r="AP158" s="172"/>
      <c r="AQ158" s="172"/>
      <c r="AR158" s="172"/>
      <c r="AS158" s="172"/>
    </row>
    <row r="159" spans="11:45" ht="13.5" customHeight="1">
      <c r="K159" s="49"/>
      <c r="L159" s="49"/>
      <c r="M159" s="49"/>
      <c r="N159" s="49"/>
      <c r="O159" s="49"/>
      <c r="P159" s="49"/>
      <c r="Q159" s="49"/>
      <c r="T159" s="172"/>
      <c r="V159" s="273"/>
      <c r="W159" s="172"/>
      <c r="X159" s="172"/>
      <c r="Y159" s="172"/>
      <c r="Z159" s="172"/>
      <c r="AA159" s="172"/>
      <c r="AB159" s="172"/>
      <c r="AC159" s="172"/>
      <c r="AD159" s="172"/>
      <c r="AE159" s="172"/>
      <c r="AF159" s="172"/>
      <c r="AG159" s="172"/>
      <c r="AH159" s="172"/>
      <c r="AI159" s="172"/>
      <c r="AJ159" s="172"/>
      <c r="AK159" s="172"/>
      <c r="AL159" s="172"/>
      <c r="AM159" s="172"/>
      <c r="AN159" s="172"/>
      <c r="AO159" s="172"/>
      <c r="AP159" s="172"/>
      <c r="AQ159" s="172"/>
      <c r="AR159" s="172"/>
      <c r="AS159" s="172"/>
    </row>
    <row r="160" spans="11:45" ht="13.5" customHeight="1">
      <c r="K160" s="49"/>
      <c r="L160" s="49"/>
      <c r="M160" s="49"/>
      <c r="N160" s="49"/>
      <c r="O160" s="49"/>
      <c r="P160" s="49"/>
      <c r="Q160" s="49"/>
      <c r="T160" s="172"/>
      <c r="V160" s="273"/>
      <c r="W160" s="172"/>
      <c r="X160" s="172"/>
      <c r="Y160" s="172"/>
      <c r="Z160" s="172"/>
      <c r="AA160" s="172"/>
      <c r="AB160" s="172"/>
      <c r="AC160" s="172"/>
      <c r="AD160" s="172"/>
      <c r="AE160" s="172"/>
      <c r="AF160" s="172"/>
      <c r="AG160" s="172"/>
      <c r="AH160" s="172"/>
      <c r="AI160" s="172"/>
      <c r="AJ160" s="172"/>
      <c r="AK160" s="172"/>
      <c r="AL160" s="172"/>
      <c r="AM160" s="172"/>
      <c r="AN160" s="172"/>
      <c r="AO160" s="172"/>
      <c r="AP160" s="172"/>
      <c r="AQ160" s="172"/>
      <c r="AR160" s="172"/>
      <c r="AS160" s="172"/>
    </row>
    <row r="161" spans="11:45" ht="13.5" customHeight="1">
      <c r="K161" s="49"/>
      <c r="L161" s="49"/>
      <c r="M161" s="49"/>
      <c r="N161" s="49"/>
      <c r="O161" s="49"/>
      <c r="P161" s="49"/>
      <c r="Q161" s="49"/>
      <c r="T161" s="172"/>
      <c r="V161" s="273"/>
      <c r="W161" s="172"/>
      <c r="X161" s="172"/>
      <c r="Y161" s="172"/>
      <c r="Z161" s="172"/>
      <c r="AA161" s="172"/>
      <c r="AB161" s="172"/>
      <c r="AC161" s="172"/>
      <c r="AD161" s="172"/>
      <c r="AE161" s="172"/>
      <c r="AF161" s="172"/>
      <c r="AG161" s="172"/>
      <c r="AH161" s="172"/>
      <c r="AI161" s="172"/>
      <c r="AJ161" s="172"/>
      <c r="AK161" s="172"/>
      <c r="AL161" s="172"/>
      <c r="AM161" s="172"/>
      <c r="AN161" s="172"/>
      <c r="AO161" s="172"/>
      <c r="AP161" s="172"/>
      <c r="AQ161" s="172"/>
      <c r="AR161" s="172"/>
      <c r="AS161" s="172"/>
    </row>
    <row r="162" spans="11:45" ht="13.5" customHeight="1">
      <c r="K162" s="49"/>
      <c r="L162" s="49"/>
      <c r="M162" s="49"/>
      <c r="N162" s="49"/>
      <c r="O162" s="49"/>
      <c r="P162" s="49"/>
      <c r="Q162" s="49"/>
      <c r="T162" s="172"/>
      <c r="V162" s="273"/>
      <c r="W162" s="172"/>
      <c r="X162" s="172"/>
      <c r="Y162" s="172"/>
      <c r="Z162" s="172"/>
      <c r="AA162" s="172"/>
      <c r="AB162" s="172"/>
      <c r="AC162" s="172"/>
      <c r="AD162" s="172"/>
      <c r="AE162" s="172"/>
      <c r="AF162" s="172"/>
      <c r="AG162" s="172"/>
      <c r="AH162" s="172"/>
      <c r="AI162" s="172"/>
      <c r="AJ162" s="172"/>
      <c r="AK162" s="172"/>
      <c r="AL162" s="172"/>
      <c r="AM162" s="172"/>
      <c r="AN162" s="172"/>
      <c r="AO162" s="172"/>
      <c r="AP162" s="172"/>
      <c r="AQ162" s="172"/>
      <c r="AR162" s="172"/>
      <c r="AS162" s="172"/>
    </row>
    <row r="163" spans="11:45" ht="13.5" customHeight="1">
      <c r="K163" s="49"/>
      <c r="L163" s="49"/>
      <c r="M163" s="49"/>
      <c r="N163" s="49"/>
      <c r="O163" s="49"/>
      <c r="P163" s="49"/>
      <c r="Q163" s="49"/>
      <c r="T163" s="172"/>
      <c r="V163" s="273"/>
      <c r="W163" s="172"/>
      <c r="X163" s="172"/>
      <c r="Y163" s="172"/>
      <c r="Z163" s="172"/>
      <c r="AA163" s="172"/>
      <c r="AB163" s="172"/>
      <c r="AC163" s="172"/>
      <c r="AD163" s="172"/>
      <c r="AE163" s="172"/>
      <c r="AF163" s="172"/>
      <c r="AG163" s="172"/>
      <c r="AH163" s="172"/>
      <c r="AI163" s="172"/>
      <c r="AJ163" s="172"/>
      <c r="AK163" s="172"/>
      <c r="AL163" s="172"/>
      <c r="AM163" s="172"/>
      <c r="AN163" s="172"/>
      <c r="AO163" s="172"/>
      <c r="AP163" s="172"/>
      <c r="AQ163" s="172"/>
      <c r="AR163" s="172"/>
      <c r="AS163" s="172"/>
    </row>
    <row r="164" spans="11:45" ht="13.5" customHeight="1">
      <c r="K164" s="49"/>
      <c r="L164" s="49"/>
      <c r="M164" s="49"/>
      <c r="N164" s="49"/>
      <c r="O164" s="49"/>
      <c r="P164" s="49"/>
      <c r="Q164" s="49"/>
      <c r="T164" s="172"/>
      <c r="V164" s="273"/>
      <c r="W164" s="172"/>
      <c r="X164" s="172"/>
      <c r="Y164" s="172"/>
      <c r="Z164" s="172"/>
      <c r="AA164" s="172"/>
      <c r="AB164" s="172"/>
      <c r="AC164" s="172"/>
      <c r="AD164" s="172"/>
      <c r="AE164" s="172"/>
      <c r="AF164" s="172"/>
      <c r="AG164" s="172"/>
      <c r="AH164" s="172"/>
      <c r="AI164" s="172"/>
      <c r="AJ164" s="172"/>
      <c r="AK164" s="172"/>
      <c r="AL164" s="172"/>
      <c r="AM164" s="172"/>
      <c r="AN164" s="172"/>
      <c r="AO164" s="172"/>
      <c r="AP164" s="172"/>
      <c r="AQ164" s="172"/>
      <c r="AR164" s="172"/>
      <c r="AS164" s="172"/>
    </row>
    <row r="165" spans="11:45" ht="13.5" customHeight="1">
      <c r="K165" s="49"/>
      <c r="L165" s="49"/>
      <c r="M165" s="49"/>
      <c r="N165" s="49"/>
      <c r="O165" s="49"/>
      <c r="P165" s="49"/>
      <c r="Q165" s="49"/>
      <c r="T165" s="172"/>
      <c r="V165" s="273"/>
      <c r="W165" s="172"/>
      <c r="X165" s="172"/>
      <c r="Y165" s="172"/>
      <c r="Z165" s="172"/>
      <c r="AA165" s="172"/>
      <c r="AB165" s="172"/>
      <c r="AC165" s="172"/>
      <c r="AD165" s="172"/>
      <c r="AE165" s="172"/>
      <c r="AF165" s="172"/>
      <c r="AG165" s="172"/>
      <c r="AH165" s="172"/>
      <c r="AI165" s="172"/>
      <c r="AJ165" s="172"/>
      <c r="AK165" s="172"/>
      <c r="AL165" s="172"/>
      <c r="AM165" s="172"/>
      <c r="AN165" s="172"/>
      <c r="AO165" s="172"/>
      <c r="AP165" s="172"/>
      <c r="AQ165" s="172"/>
      <c r="AR165" s="172"/>
      <c r="AS165" s="172"/>
    </row>
    <row r="166" spans="11:45" ht="13.5" customHeight="1">
      <c r="K166" s="49"/>
      <c r="L166" s="49"/>
      <c r="M166" s="49"/>
      <c r="N166" s="49"/>
      <c r="O166" s="49"/>
      <c r="P166" s="49"/>
      <c r="Q166" s="49"/>
      <c r="T166" s="172"/>
      <c r="V166" s="273"/>
      <c r="W166" s="172"/>
      <c r="X166" s="172"/>
      <c r="Y166" s="172"/>
      <c r="Z166" s="172"/>
      <c r="AA166" s="172"/>
      <c r="AB166" s="172"/>
      <c r="AC166" s="172"/>
      <c r="AD166" s="172"/>
      <c r="AE166" s="172"/>
      <c r="AF166" s="172"/>
      <c r="AG166" s="172"/>
      <c r="AH166" s="172"/>
      <c r="AI166" s="172"/>
      <c r="AJ166" s="172"/>
      <c r="AK166" s="172"/>
      <c r="AL166" s="172"/>
      <c r="AM166" s="172"/>
      <c r="AN166" s="172"/>
      <c r="AO166" s="172"/>
      <c r="AP166" s="172"/>
      <c r="AQ166" s="172"/>
      <c r="AR166" s="172"/>
      <c r="AS166" s="172"/>
    </row>
    <row r="167" spans="11:45" ht="13.5" customHeight="1">
      <c r="K167" s="49"/>
      <c r="L167" s="49"/>
      <c r="M167" s="49"/>
      <c r="N167" s="49"/>
      <c r="O167" s="49"/>
      <c r="P167" s="49"/>
      <c r="Q167" s="49"/>
      <c r="T167" s="172"/>
      <c r="V167" s="273"/>
      <c r="W167" s="172"/>
      <c r="X167" s="172"/>
      <c r="Y167" s="172"/>
      <c r="Z167" s="172"/>
      <c r="AA167" s="172"/>
      <c r="AB167" s="172"/>
      <c r="AC167" s="172"/>
      <c r="AD167" s="172"/>
      <c r="AE167" s="172"/>
      <c r="AF167" s="172"/>
      <c r="AG167" s="172"/>
      <c r="AH167" s="172"/>
      <c r="AI167" s="172"/>
      <c r="AJ167" s="172"/>
      <c r="AK167" s="172"/>
      <c r="AL167" s="172"/>
      <c r="AM167" s="172"/>
      <c r="AN167" s="172"/>
      <c r="AO167" s="172"/>
      <c r="AP167" s="172"/>
      <c r="AQ167" s="172"/>
      <c r="AR167" s="172"/>
      <c r="AS167" s="172"/>
    </row>
    <row r="168" spans="11:45" ht="13.5" customHeight="1">
      <c r="K168" s="49"/>
      <c r="L168" s="49"/>
      <c r="M168" s="49"/>
      <c r="N168" s="49"/>
      <c r="O168" s="49"/>
      <c r="P168" s="49"/>
      <c r="Q168" s="49"/>
      <c r="T168" s="172"/>
      <c r="V168" s="273"/>
      <c r="W168" s="172"/>
      <c r="X168" s="172"/>
      <c r="Y168" s="172"/>
      <c r="Z168" s="172"/>
      <c r="AA168" s="172"/>
      <c r="AB168" s="172"/>
      <c r="AC168" s="172"/>
      <c r="AD168" s="172"/>
      <c r="AE168" s="172"/>
      <c r="AF168" s="172"/>
      <c r="AG168" s="172"/>
      <c r="AH168" s="172"/>
      <c r="AI168" s="172"/>
      <c r="AJ168" s="172"/>
      <c r="AK168" s="172"/>
      <c r="AL168" s="172"/>
      <c r="AM168" s="172"/>
      <c r="AN168" s="172"/>
      <c r="AO168" s="172"/>
      <c r="AP168" s="172"/>
      <c r="AQ168" s="172"/>
      <c r="AR168" s="172"/>
      <c r="AS168" s="172"/>
    </row>
    <row r="169" spans="11:45" ht="13.5" customHeight="1">
      <c r="K169" s="49"/>
      <c r="L169" s="49"/>
      <c r="M169" s="49"/>
      <c r="N169" s="49"/>
      <c r="O169" s="49"/>
      <c r="P169" s="49"/>
      <c r="Q169" s="49"/>
      <c r="T169" s="172"/>
      <c r="V169" s="273"/>
      <c r="W169" s="172"/>
      <c r="X169" s="172"/>
      <c r="Y169" s="172"/>
      <c r="Z169" s="172"/>
      <c r="AA169" s="172"/>
      <c r="AB169" s="172"/>
      <c r="AC169" s="172"/>
      <c r="AD169" s="172"/>
      <c r="AE169" s="172"/>
      <c r="AF169" s="172"/>
      <c r="AG169" s="172"/>
      <c r="AH169" s="172"/>
      <c r="AI169" s="172"/>
      <c r="AJ169" s="172"/>
      <c r="AK169" s="172"/>
      <c r="AL169" s="172"/>
      <c r="AM169" s="172"/>
      <c r="AN169" s="172"/>
      <c r="AO169" s="172"/>
      <c r="AP169" s="172"/>
      <c r="AQ169" s="172"/>
      <c r="AR169" s="172"/>
      <c r="AS169" s="172"/>
    </row>
    <row r="170" spans="11:45" ht="13.5" customHeight="1">
      <c r="K170" s="49"/>
      <c r="L170" s="49"/>
      <c r="M170" s="49"/>
      <c r="N170" s="49"/>
      <c r="O170" s="49"/>
      <c r="P170" s="49"/>
      <c r="Q170" s="49"/>
      <c r="T170" s="172"/>
      <c r="V170" s="273"/>
      <c r="W170" s="172"/>
      <c r="X170" s="172"/>
      <c r="Y170" s="172"/>
      <c r="Z170" s="172"/>
      <c r="AA170" s="172"/>
      <c r="AB170" s="172"/>
      <c r="AC170" s="172"/>
      <c r="AD170" s="172"/>
      <c r="AE170" s="172"/>
      <c r="AF170" s="172"/>
      <c r="AG170" s="172"/>
      <c r="AH170" s="172"/>
      <c r="AI170" s="172"/>
      <c r="AJ170" s="172"/>
      <c r="AK170" s="172"/>
      <c r="AL170" s="172"/>
      <c r="AM170" s="172"/>
      <c r="AN170" s="172"/>
      <c r="AO170" s="172"/>
      <c r="AP170" s="172"/>
      <c r="AQ170" s="172"/>
      <c r="AR170" s="172"/>
      <c r="AS170" s="172"/>
    </row>
    <row r="171" spans="11:45" ht="13.5" customHeight="1">
      <c r="K171" s="49"/>
      <c r="L171" s="49"/>
      <c r="M171" s="49"/>
      <c r="N171" s="49"/>
      <c r="O171" s="49"/>
      <c r="P171" s="49"/>
      <c r="Q171" s="49"/>
      <c r="T171" s="172"/>
      <c r="V171" s="273"/>
      <c r="W171" s="172"/>
      <c r="X171" s="172"/>
      <c r="Y171" s="172"/>
      <c r="Z171" s="172"/>
      <c r="AA171" s="172"/>
      <c r="AB171" s="172"/>
      <c r="AC171" s="172"/>
      <c r="AD171" s="172"/>
      <c r="AE171" s="172"/>
      <c r="AF171" s="172"/>
      <c r="AG171" s="172"/>
      <c r="AH171" s="172"/>
      <c r="AI171" s="172"/>
      <c r="AJ171" s="172"/>
      <c r="AK171" s="172"/>
      <c r="AL171" s="172"/>
      <c r="AM171" s="172"/>
      <c r="AN171" s="172"/>
      <c r="AO171" s="172"/>
      <c r="AP171" s="172"/>
      <c r="AQ171" s="172"/>
      <c r="AR171" s="172"/>
      <c r="AS171" s="172"/>
    </row>
    <row r="172" spans="11:45" ht="13.5" customHeight="1">
      <c r="K172" s="49"/>
      <c r="L172" s="49"/>
      <c r="M172" s="49"/>
      <c r="N172" s="49"/>
      <c r="O172" s="49"/>
      <c r="P172" s="49"/>
      <c r="Q172" s="49"/>
      <c r="T172" s="172"/>
      <c r="V172" s="273"/>
      <c r="W172" s="172"/>
      <c r="X172" s="172"/>
      <c r="Y172" s="172"/>
      <c r="Z172" s="172"/>
      <c r="AA172" s="172"/>
      <c r="AB172" s="172"/>
      <c r="AC172" s="172"/>
      <c r="AD172" s="172"/>
      <c r="AE172" s="172"/>
      <c r="AF172" s="172"/>
      <c r="AG172" s="172"/>
      <c r="AH172" s="172"/>
      <c r="AI172" s="172"/>
      <c r="AJ172" s="172"/>
      <c r="AK172" s="172"/>
      <c r="AL172" s="172"/>
      <c r="AM172" s="172"/>
      <c r="AN172" s="172"/>
      <c r="AO172" s="172"/>
      <c r="AP172" s="172"/>
      <c r="AQ172" s="172"/>
      <c r="AR172" s="172"/>
      <c r="AS172" s="172"/>
    </row>
    <row r="173" spans="11:45" ht="13.5" customHeight="1">
      <c r="K173" s="49"/>
      <c r="L173" s="49"/>
      <c r="M173" s="49"/>
      <c r="N173" s="49"/>
      <c r="O173" s="49"/>
      <c r="P173" s="49"/>
      <c r="Q173" s="49"/>
      <c r="T173" s="172"/>
      <c r="V173" s="273"/>
      <c r="W173" s="172"/>
      <c r="X173" s="172"/>
      <c r="Y173" s="172"/>
      <c r="Z173" s="172"/>
      <c r="AA173" s="172"/>
      <c r="AB173" s="172"/>
      <c r="AC173" s="172"/>
      <c r="AD173" s="172"/>
      <c r="AE173" s="172"/>
      <c r="AF173" s="172"/>
      <c r="AG173" s="172"/>
      <c r="AH173" s="172"/>
      <c r="AI173" s="172"/>
      <c r="AJ173" s="172"/>
      <c r="AK173" s="172"/>
      <c r="AL173" s="172"/>
      <c r="AM173" s="172"/>
      <c r="AN173" s="172"/>
      <c r="AO173" s="172"/>
      <c r="AP173" s="172"/>
      <c r="AQ173" s="172"/>
      <c r="AR173" s="172"/>
      <c r="AS173" s="172"/>
    </row>
    <row r="174" spans="11:45" ht="13.5" customHeight="1">
      <c r="K174" s="49"/>
      <c r="L174" s="49"/>
      <c r="M174" s="49"/>
      <c r="N174" s="49"/>
      <c r="O174" s="49"/>
      <c r="P174" s="49"/>
      <c r="Q174" s="49"/>
      <c r="T174" s="172"/>
      <c r="V174" s="273"/>
      <c r="W174" s="172"/>
      <c r="X174" s="172"/>
      <c r="Y174" s="172"/>
      <c r="Z174" s="172"/>
      <c r="AA174" s="172"/>
      <c r="AB174" s="172"/>
      <c r="AC174" s="172"/>
      <c r="AD174" s="172"/>
      <c r="AE174" s="172"/>
      <c r="AF174" s="172"/>
      <c r="AG174" s="172"/>
      <c r="AH174" s="172"/>
      <c r="AI174" s="172"/>
      <c r="AJ174" s="172"/>
      <c r="AK174" s="172"/>
      <c r="AL174" s="172"/>
      <c r="AM174" s="172"/>
      <c r="AN174" s="172"/>
      <c r="AO174" s="172"/>
      <c r="AP174" s="172"/>
      <c r="AQ174" s="172"/>
      <c r="AR174" s="172"/>
      <c r="AS174" s="172"/>
    </row>
    <row r="175" spans="11:45" ht="13.5" customHeight="1">
      <c r="K175" s="49"/>
      <c r="L175" s="49"/>
      <c r="M175" s="49"/>
      <c r="N175" s="49"/>
      <c r="O175" s="49"/>
      <c r="P175" s="49"/>
      <c r="Q175" s="49"/>
      <c r="T175" s="172"/>
      <c r="V175" s="273"/>
      <c r="W175" s="172"/>
      <c r="X175" s="172"/>
      <c r="Y175" s="172"/>
      <c r="Z175" s="172"/>
      <c r="AA175" s="172"/>
      <c r="AB175" s="172"/>
      <c r="AC175" s="172"/>
      <c r="AD175" s="172"/>
      <c r="AE175" s="172"/>
      <c r="AF175" s="172"/>
      <c r="AG175" s="172"/>
      <c r="AH175" s="172"/>
      <c r="AI175" s="172"/>
      <c r="AJ175" s="172"/>
      <c r="AK175" s="172"/>
      <c r="AL175" s="172"/>
      <c r="AM175" s="172"/>
      <c r="AN175" s="172"/>
      <c r="AO175" s="172"/>
      <c r="AP175" s="172"/>
      <c r="AQ175" s="172"/>
      <c r="AR175" s="172"/>
      <c r="AS175" s="172"/>
    </row>
    <row r="176" spans="11:45" ht="13.5" customHeight="1">
      <c r="K176" s="49"/>
      <c r="L176" s="49"/>
      <c r="M176" s="49"/>
      <c r="N176" s="49"/>
      <c r="O176" s="49"/>
      <c r="P176" s="49"/>
      <c r="Q176" s="49"/>
      <c r="T176" s="172"/>
      <c r="V176" s="273"/>
      <c r="W176" s="172"/>
      <c r="X176" s="172"/>
      <c r="Y176" s="172"/>
      <c r="Z176" s="172"/>
      <c r="AA176" s="172"/>
      <c r="AB176" s="172"/>
      <c r="AC176" s="172"/>
      <c r="AD176" s="172"/>
      <c r="AE176" s="172"/>
      <c r="AF176" s="172"/>
      <c r="AG176" s="172"/>
      <c r="AH176" s="172"/>
      <c r="AI176" s="172"/>
      <c r="AJ176" s="172"/>
      <c r="AK176" s="172"/>
      <c r="AL176" s="172"/>
      <c r="AM176" s="172"/>
      <c r="AN176" s="172"/>
      <c r="AO176" s="172"/>
      <c r="AP176" s="172"/>
      <c r="AQ176" s="172"/>
      <c r="AR176" s="172"/>
      <c r="AS176" s="172"/>
    </row>
    <row r="177" spans="11:45" ht="13.5" customHeight="1">
      <c r="K177" s="49"/>
      <c r="L177" s="49"/>
      <c r="M177" s="49"/>
      <c r="N177" s="49"/>
      <c r="O177" s="49"/>
      <c r="P177" s="49"/>
      <c r="Q177" s="49"/>
      <c r="T177" s="172"/>
      <c r="V177" s="273"/>
      <c r="W177" s="172"/>
      <c r="X177" s="172"/>
      <c r="Y177" s="172"/>
      <c r="Z177" s="172"/>
      <c r="AA177" s="172"/>
      <c r="AB177" s="172"/>
      <c r="AC177" s="172"/>
      <c r="AD177" s="172"/>
      <c r="AE177" s="172"/>
      <c r="AF177" s="172"/>
      <c r="AG177" s="172"/>
      <c r="AH177" s="172"/>
      <c r="AI177" s="172"/>
      <c r="AJ177" s="172"/>
      <c r="AK177" s="172"/>
      <c r="AL177" s="172"/>
      <c r="AM177" s="172"/>
      <c r="AN177" s="172"/>
      <c r="AO177" s="172"/>
      <c r="AP177" s="172"/>
      <c r="AQ177" s="172"/>
      <c r="AR177" s="172"/>
      <c r="AS177" s="172"/>
    </row>
    <row r="178" spans="11:45" ht="13.5" customHeight="1">
      <c r="K178" s="49"/>
      <c r="L178" s="49"/>
      <c r="M178" s="49"/>
      <c r="N178" s="49"/>
      <c r="O178" s="49"/>
      <c r="P178" s="49"/>
      <c r="Q178" s="49"/>
      <c r="T178" s="172"/>
      <c r="V178" s="273"/>
      <c r="W178" s="172"/>
      <c r="X178" s="172"/>
      <c r="Y178" s="172"/>
      <c r="Z178" s="172"/>
      <c r="AA178" s="172"/>
      <c r="AB178" s="172"/>
      <c r="AC178" s="172"/>
      <c r="AD178" s="172"/>
      <c r="AE178" s="172"/>
      <c r="AF178" s="172"/>
      <c r="AG178" s="172"/>
      <c r="AH178" s="172"/>
      <c r="AI178" s="172"/>
      <c r="AJ178" s="172"/>
      <c r="AK178" s="172"/>
      <c r="AL178" s="172"/>
      <c r="AM178" s="172"/>
      <c r="AN178" s="172"/>
      <c r="AO178" s="172"/>
      <c r="AP178" s="172"/>
      <c r="AQ178" s="172"/>
      <c r="AR178" s="172"/>
      <c r="AS178" s="172"/>
    </row>
    <row r="179" spans="11:45" ht="13.5" customHeight="1">
      <c r="K179" s="49"/>
      <c r="L179" s="49"/>
      <c r="M179" s="49"/>
      <c r="N179" s="49"/>
      <c r="O179" s="49"/>
      <c r="P179" s="49"/>
      <c r="Q179" s="49"/>
      <c r="T179" s="172"/>
      <c r="V179" s="273"/>
      <c r="W179" s="172"/>
      <c r="X179" s="172"/>
      <c r="Y179" s="172"/>
      <c r="Z179" s="172"/>
      <c r="AA179" s="172"/>
      <c r="AB179" s="172"/>
      <c r="AC179" s="172"/>
      <c r="AD179" s="172"/>
      <c r="AE179" s="172"/>
      <c r="AF179" s="172"/>
      <c r="AG179" s="172"/>
      <c r="AH179" s="172"/>
      <c r="AI179" s="172"/>
      <c r="AJ179" s="172"/>
      <c r="AK179" s="172"/>
      <c r="AL179" s="172"/>
      <c r="AM179" s="172"/>
      <c r="AN179" s="172"/>
      <c r="AO179" s="172"/>
      <c r="AP179" s="172"/>
      <c r="AQ179" s="172"/>
      <c r="AR179" s="172"/>
      <c r="AS179" s="172"/>
    </row>
    <row r="180" spans="11:45" ht="13.5" customHeight="1">
      <c r="K180" s="49"/>
      <c r="L180" s="49"/>
      <c r="M180" s="49"/>
      <c r="N180" s="49"/>
      <c r="O180" s="49"/>
      <c r="P180" s="49"/>
      <c r="Q180" s="49"/>
      <c r="T180" s="172"/>
      <c r="V180" s="273"/>
      <c r="W180" s="172"/>
      <c r="X180" s="172"/>
      <c r="Y180" s="172"/>
      <c r="Z180" s="172"/>
      <c r="AA180" s="172"/>
      <c r="AB180" s="172"/>
      <c r="AC180" s="172"/>
      <c r="AD180" s="172"/>
      <c r="AE180" s="172"/>
      <c r="AF180" s="172"/>
      <c r="AG180" s="172"/>
      <c r="AH180" s="172"/>
      <c r="AI180" s="172"/>
      <c r="AJ180" s="172"/>
      <c r="AK180" s="172"/>
      <c r="AL180" s="172"/>
      <c r="AM180" s="172"/>
      <c r="AN180" s="172"/>
      <c r="AO180" s="172"/>
      <c r="AP180" s="172"/>
      <c r="AQ180" s="172"/>
      <c r="AR180" s="172"/>
      <c r="AS180" s="172"/>
    </row>
    <row r="181" spans="11:45" ht="13.5" customHeight="1">
      <c r="K181" s="49"/>
      <c r="L181" s="49"/>
      <c r="M181" s="49"/>
      <c r="N181" s="49"/>
      <c r="O181" s="49"/>
      <c r="P181" s="49"/>
      <c r="Q181" s="49"/>
      <c r="T181" s="172"/>
      <c r="V181" s="273"/>
      <c r="W181" s="172"/>
      <c r="X181" s="172"/>
      <c r="Y181" s="172"/>
      <c r="Z181" s="172"/>
      <c r="AA181" s="172"/>
      <c r="AB181" s="172"/>
      <c r="AC181" s="172"/>
      <c r="AD181" s="172"/>
      <c r="AE181" s="172"/>
      <c r="AF181" s="172"/>
      <c r="AG181" s="172"/>
      <c r="AH181" s="172"/>
      <c r="AI181" s="172"/>
      <c r="AJ181" s="172"/>
      <c r="AK181" s="172"/>
      <c r="AL181" s="172"/>
      <c r="AM181" s="172"/>
      <c r="AN181" s="172"/>
      <c r="AO181" s="172"/>
      <c r="AP181" s="172"/>
      <c r="AQ181" s="172"/>
      <c r="AR181" s="172"/>
      <c r="AS181" s="172"/>
    </row>
    <row r="182" spans="11:45" ht="13.5" customHeight="1">
      <c r="K182" s="49"/>
      <c r="L182" s="49"/>
      <c r="M182" s="49"/>
      <c r="N182" s="49"/>
      <c r="O182" s="49"/>
      <c r="P182" s="49"/>
      <c r="Q182" s="49"/>
      <c r="T182" s="172"/>
      <c r="V182" s="273"/>
      <c r="W182" s="172"/>
      <c r="X182" s="172"/>
      <c r="Y182" s="172"/>
      <c r="Z182" s="172"/>
      <c r="AA182" s="172"/>
      <c r="AB182" s="172"/>
      <c r="AC182" s="172"/>
      <c r="AD182" s="172"/>
      <c r="AE182" s="172"/>
      <c r="AF182" s="172"/>
      <c r="AG182" s="172"/>
      <c r="AH182" s="172"/>
      <c r="AI182" s="172"/>
      <c r="AJ182" s="172"/>
      <c r="AK182" s="172"/>
      <c r="AL182" s="172"/>
      <c r="AM182" s="172"/>
      <c r="AN182" s="172"/>
      <c r="AO182" s="172"/>
      <c r="AP182" s="172"/>
      <c r="AQ182" s="172"/>
      <c r="AR182" s="172"/>
      <c r="AS182" s="172"/>
    </row>
    <row r="183" spans="11:45" ht="13.5" customHeight="1">
      <c r="K183" s="49"/>
      <c r="L183" s="49"/>
      <c r="M183" s="49"/>
      <c r="N183" s="49"/>
      <c r="O183" s="49"/>
      <c r="P183" s="49"/>
      <c r="Q183" s="49"/>
      <c r="T183" s="172"/>
      <c r="V183" s="273"/>
      <c r="W183" s="172"/>
      <c r="X183" s="172"/>
      <c r="Y183" s="172"/>
      <c r="Z183" s="172"/>
      <c r="AA183" s="172"/>
      <c r="AB183" s="172"/>
      <c r="AC183" s="172"/>
      <c r="AD183" s="172"/>
      <c r="AE183" s="172"/>
      <c r="AF183" s="172"/>
      <c r="AG183" s="172"/>
      <c r="AH183" s="172"/>
      <c r="AI183" s="172"/>
      <c r="AJ183" s="172"/>
      <c r="AK183" s="172"/>
      <c r="AL183" s="172"/>
      <c r="AM183" s="172"/>
      <c r="AN183" s="172"/>
      <c r="AO183" s="172"/>
      <c r="AP183" s="172"/>
      <c r="AQ183" s="172"/>
      <c r="AR183" s="172"/>
      <c r="AS183" s="172"/>
    </row>
    <row r="184" spans="11:45" ht="13.5" customHeight="1">
      <c r="K184" s="49"/>
      <c r="L184" s="49"/>
      <c r="M184" s="49"/>
      <c r="N184" s="49"/>
      <c r="O184" s="49"/>
      <c r="P184" s="49"/>
      <c r="Q184" s="49"/>
      <c r="T184" s="172"/>
      <c r="V184" s="273"/>
      <c r="W184" s="172"/>
      <c r="X184" s="172"/>
      <c r="Y184" s="172"/>
      <c r="Z184" s="172"/>
      <c r="AA184" s="172"/>
      <c r="AB184" s="172"/>
      <c r="AC184" s="172"/>
      <c r="AD184" s="172"/>
      <c r="AE184" s="172"/>
      <c r="AF184" s="172"/>
      <c r="AG184" s="172"/>
      <c r="AH184" s="172"/>
      <c r="AI184" s="172"/>
      <c r="AJ184" s="172"/>
      <c r="AK184" s="172"/>
      <c r="AL184" s="172"/>
      <c r="AM184" s="172"/>
      <c r="AN184" s="172"/>
      <c r="AO184" s="172"/>
      <c r="AP184" s="172"/>
      <c r="AQ184" s="172"/>
      <c r="AR184" s="172"/>
      <c r="AS184" s="172"/>
    </row>
    <row r="185" spans="11:45" ht="13.5" customHeight="1">
      <c r="K185" s="49"/>
      <c r="L185" s="49"/>
      <c r="M185" s="49"/>
      <c r="N185" s="49"/>
      <c r="O185" s="49"/>
      <c r="P185" s="49"/>
      <c r="Q185" s="49"/>
      <c r="T185" s="172"/>
      <c r="V185" s="273"/>
      <c r="W185" s="172"/>
      <c r="X185" s="172"/>
      <c r="Y185" s="172"/>
      <c r="Z185" s="172"/>
      <c r="AA185" s="172"/>
      <c r="AB185" s="172"/>
      <c r="AC185" s="172"/>
      <c r="AD185" s="172"/>
      <c r="AE185" s="172"/>
      <c r="AF185" s="172"/>
      <c r="AG185" s="172"/>
      <c r="AH185" s="172"/>
      <c r="AI185" s="172"/>
      <c r="AJ185" s="172"/>
      <c r="AK185" s="172"/>
      <c r="AL185" s="172"/>
      <c r="AM185" s="172"/>
      <c r="AN185" s="172"/>
      <c r="AO185" s="172"/>
      <c r="AP185" s="172"/>
      <c r="AQ185" s="172"/>
      <c r="AR185" s="172"/>
      <c r="AS185" s="172"/>
    </row>
    <row r="186" spans="11:45" ht="13.5" customHeight="1">
      <c r="K186" s="49"/>
      <c r="L186" s="49"/>
      <c r="M186" s="49"/>
      <c r="N186" s="49"/>
      <c r="O186" s="49"/>
      <c r="P186" s="49"/>
      <c r="Q186" s="49"/>
      <c r="T186" s="172"/>
      <c r="V186" s="273"/>
      <c r="W186" s="172"/>
      <c r="X186" s="172"/>
      <c r="Y186" s="172"/>
      <c r="Z186" s="172"/>
      <c r="AA186" s="172"/>
      <c r="AB186" s="172"/>
      <c r="AC186" s="172"/>
      <c r="AD186" s="172"/>
      <c r="AE186" s="172"/>
      <c r="AF186" s="172"/>
      <c r="AG186" s="172"/>
      <c r="AH186" s="172"/>
      <c r="AI186" s="172"/>
      <c r="AJ186" s="172"/>
      <c r="AK186" s="172"/>
      <c r="AL186" s="172"/>
      <c r="AM186" s="172"/>
      <c r="AN186" s="172"/>
      <c r="AO186" s="172"/>
      <c r="AP186" s="172"/>
      <c r="AQ186" s="172"/>
      <c r="AR186" s="172"/>
      <c r="AS186" s="172"/>
    </row>
    <row r="187" spans="11:45" ht="13.5" customHeight="1">
      <c r="K187" s="49"/>
      <c r="L187" s="49"/>
      <c r="M187" s="49"/>
      <c r="N187" s="49"/>
      <c r="O187" s="49"/>
      <c r="P187" s="49"/>
      <c r="Q187" s="49"/>
      <c r="T187" s="172"/>
      <c r="V187" s="273"/>
      <c r="W187" s="172"/>
      <c r="X187" s="172"/>
      <c r="Y187" s="172"/>
      <c r="Z187" s="172"/>
      <c r="AA187" s="172"/>
      <c r="AB187" s="172"/>
      <c r="AC187" s="172"/>
      <c r="AD187" s="172"/>
      <c r="AE187" s="172"/>
      <c r="AF187" s="172"/>
      <c r="AG187" s="172"/>
      <c r="AH187" s="172"/>
      <c r="AI187" s="172"/>
      <c r="AJ187" s="172"/>
      <c r="AK187" s="172"/>
      <c r="AL187" s="172"/>
      <c r="AM187" s="172"/>
      <c r="AN187" s="172"/>
      <c r="AO187" s="172"/>
      <c r="AP187" s="172"/>
      <c r="AQ187" s="172"/>
      <c r="AR187" s="172"/>
      <c r="AS187" s="172"/>
    </row>
    <row r="188" spans="11:45" ht="13.5" customHeight="1">
      <c r="K188" s="49"/>
      <c r="L188" s="49"/>
      <c r="M188" s="49"/>
      <c r="N188" s="49"/>
      <c r="O188" s="49"/>
      <c r="P188" s="49"/>
      <c r="Q188" s="49"/>
      <c r="T188" s="172"/>
      <c r="V188" s="273"/>
      <c r="W188" s="172"/>
      <c r="X188" s="172"/>
      <c r="Y188" s="172"/>
      <c r="Z188" s="172"/>
      <c r="AA188" s="172"/>
      <c r="AB188" s="172"/>
      <c r="AC188" s="172"/>
      <c r="AD188" s="172"/>
      <c r="AE188" s="172"/>
      <c r="AF188" s="172"/>
      <c r="AG188" s="172"/>
      <c r="AH188" s="172"/>
      <c r="AI188" s="172"/>
      <c r="AJ188" s="172"/>
      <c r="AK188" s="172"/>
      <c r="AL188" s="172"/>
      <c r="AM188" s="172"/>
      <c r="AN188" s="172"/>
      <c r="AO188" s="172"/>
      <c r="AP188" s="172"/>
      <c r="AQ188" s="172"/>
      <c r="AR188" s="172"/>
      <c r="AS188" s="172"/>
    </row>
    <row r="189" spans="11:45" ht="13.5" customHeight="1">
      <c r="K189" s="49"/>
      <c r="L189" s="49"/>
      <c r="M189" s="49"/>
      <c r="N189" s="49"/>
      <c r="O189" s="49"/>
      <c r="P189" s="49"/>
      <c r="Q189" s="49"/>
      <c r="T189" s="172"/>
      <c r="V189" s="273"/>
      <c r="W189" s="172"/>
      <c r="X189" s="172"/>
      <c r="Y189" s="172"/>
      <c r="Z189" s="172"/>
      <c r="AA189" s="172"/>
      <c r="AB189" s="172"/>
      <c r="AC189" s="172"/>
      <c r="AD189" s="172"/>
      <c r="AE189" s="172"/>
      <c r="AF189" s="172"/>
      <c r="AG189" s="172"/>
      <c r="AH189" s="172"/>
      <c r="AI189" s="172"/>
      <c r="AJ189" s="172"/>
      <c r="AK189" s="172"/>
      <c r="AL189" s="172"/>
      <c r="AM189" s="172"/>
      <c r="AN189" s="172"/>
      <c r="AO189" s="172"/>
      <c r="AP189" s="172"/>
      <c r="AQ189" s="172"/>
      <c r="AR189" s="172"/>
      <c r="AS189" s="172"/>
    </row>
    <row r="190" spans="11:45" ht="13.5" customHeight="1">
      <c r="K190" s="49"/>
      <c r="L190" s="49"/>
      <c r="M190" s="49"/>
      <c r="N190" s="49"/>
      <c r="O190" s="49"/>
      <c r="P190" s="49"/>
      <c r="Q190" s="49"/>
      <c r="T190" s="172"/>
      <c r="V190" s="273"/>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row>
    <row r="191" spans="11:45" ht="13.5" customHeight="1">
      <c r="K191" s="49"/>
      <c r="L191" s="49"/>
      <c r="M191" s="49"/>
      <c r="N191" s="49"/>
      <c r="O191" s="49"/>
      <c r="P191" s="49"/>
      <c r="Q191" s="49"/>
      <c r="T191" s="172"/>
      <c r="V191" s="273"/>
      <c r="W191" s="172"/>
      <c r="X191" s="172"/>
      <c r="Y191" s="172"/>
      <c r="Z191" s="172"/>
      <c r="AA191" s="172"/>
      <c r="AB191" s="172"/>
      <c r="AC191" s="172"/>
      <c r="AD191" s="172"/>
      <c r="AE191" s="172"/>
      <c r="AF191" s="172"/>
      <c r="AG191" s="172"/>
      <c r="AH191" s="172"/>
      <c r="AI191" s="172"/>
      <c r="AJ191" s="172"/>
      <c r="AK191" s="172"/>
      <c r="AL191" s="172"/>
      <c r="AM191" s="172"/>
      <c r="AN191" s="172"/>
      <c r="AO191" s="172"/>
      <c r="AP191" s="172"/>
      <c r="AQ191" s="172"/>
      <c r="AR191" s="172"/>
      <c r="AS191" s="172"/>
    </row>
    <row r="192" spans="11:45" ht="13.5" customHeight="1">
      <c r="K192" s="49"/>
      <c r="L192" s="49"/>
      <c r="M192" s="49"/>
      <c r="N192" s="49"/>
      <c r="O192" s="49"/>
      <c r="P192" s="49"/>
      <c r="Q192" s="49"/>
      <c r="T192" s="172"/>
      <c r="V192" s="273"/>
      <c r="W192" s="172"/>
      <c r="X192" s="172"/>
      <c r="Y192" s="172"/>
      <c r="Z192" s="172"/>
      <c r="AA192" s="172"/>
      <c r="AB192" s="172"/>
      <c r="AC192" s="172"/>
      <c r="AD192" s="172"/>
      <c r="AE192" s="172"/>
      <c r="AF192" s="172"/>
      <c r="AG192" s="172"/>
      <c r="AH192" s="172"/>
      <c r="AI192" s="172"/>
      <c r="AJ192" s="172"/>
      <c r="AK192" s="172"/>
      <c r="AL192" s="172"/>
      <c r="AM192" s="172"/>
      <c r="AN192" s="172"/>
      <c r="AO192" s="172"/>
      <c r="AP192" s="172"/>
      <c r="AQ192" s="172"/>
      <c r="AR192" s="172"/>
      <c r="AS192" s="172"/>
    </row>
    <row r="193" spans="11:45" ht="13.5" customHeight="1">
      <c r="K193" s="49"/>
      <c r="L193" s="49"/>
      <c r="M193" s="49"/>
      <c r="N193" s="49"/>
      <c r="O193" s="49"/>
      <c r="P193" s="49"/>
      <c r="Q193" s="49"/>
      <c r="T193" s="172"/>
      <c r="V193" s="273"/>
      <c r="W193" s="172"/>
      <c r="X193" s="172"/>
      <c r="Y193" s="172"/>
      <c r="Z193" s="172"/>
      <c r="AA193" s="172"/>
      <c r="AB193" s="172"/>
      <c r="AC193" s="172"/>
      <c r="AD193" s="172"/>
      <c r="AE193" s="172"/>
      <c r="AF193" s="172"/>
      <c r="AG193" s="172"/>
      <c r="AH193" s="172"/>
      <c r="AI193" s="172"/>
      <c r="AJ193" s="172"/>
      <c r="AK193" s="172"/>
      <c r="AL193" s="172"/>
      <c r="AM193" s="172"/>
      <c r="AN193" s="172"/>
      <c r="AO193" s="172"/>
      <c r="AP193" s="172"/>
      <c r="AQ193" s="172"/>
      <c r="AR193" s="172"/>
      <c r="AS193" s="172"/>
    </row>
    <row r="194" spans="11:45" ht="13.5" customHeight="1">
      <c r="K194" s="49"/>
      <c r="L194" s="49"/>
      <c r="M194" s="49"/>
      <c r="N194" s="49"/>
      <c r="O194" s="49"/>
      <c r="P194" s="49"/>
      <c r="Q194" s="49"/>
      <c r="T194" s="172"/>
      <c r="V194" s="273"/>
      <c r="W194" s="172"/>
      <c r="X194" s="172"/>
      <c r="Y194" s="172"/>
      <c r="Z194" s="172"/>
      <c r="AA194" s="172"/>
      <c r="AB194" s="172"/>
      <c r="AC194" s="172"/>
      <c r="AD194" s="172"/>
      <c r="AE194" s="172"/>
      <c r="AF194" s="172"/>
      <c r="AG194" s="172"/>
      <c r="AH194" s="172"/>
      <c r="AI194" s="172"/>
      <c r="AJ194" s="172"/>
      <c r="AK194" s="172"/>
      <c r="AL194" s="172"/>
      <c r="AM194" s="172"/>
      <c r="AN194" s="172"/>
      <c r="AO194" s="172"/>
      <c r="AP194" s="172"/>
      <c r="AQ194" s="172"/>
      <c r="AR194" s="172"/>
      <c r="AS194" s="172"/>
    </row>
    <row r="195" spans="11:45" ht="13.5" customHeight="1">
      <c r="K195" s="49"/>
      <c r="L195" s="49"/>
      <c r="M195" s="49"/>
      <c r="N195" s="49"/>
      <c r="O195" s="49"/>
      <c r="P195" s="49"/>
      <c r="Q195" s="49"/>
      <c r="T195" s="172"/>
      <c r="V195" s="273"/>
      <c r="W195" s="172"/>
      <c r="X195" s="172"/>
      <c r="Y195" s="172"/>
      <c r="Z195" s="172"/>
      <c r="AA195" s="172"/>
      <c r="AB195" s="172"/>
      <c r="AC195" s="172"/>
      <c r="AD195" s="172"/>
      <c r="AE195" s="172"/>
      <c r="AF195" s="172"/>
      <c r="AG195" s="172"/>
      <c r="AH195" s="172"/>
      <c r="AI195" s="172"/>
      <c r="AJ195" s="172"/>
      <c r="AK195" s="172"/>
      <c r="AL195" s="172"/>
      <c r="AM195" s="172"/>
      <c r="AN195" s="172"/>
      <c r="AO195" s="172"/>
      <c r="AP195" s="172"/>
      <c r="AQ195" s="172"/>
      <c r="AR195" s="172"/>
      <c r="AS195" s="172"/>
    </row>
    <row r="196" spans="11:45" ht="13.5" customHeight="1">
      <c r="K196" s="49"/>
      <c r="L196" s="49"/>
      <c r="M196" s="49"/>
      <c r="N196" s="49"/>
      <c r="O196" s="49"/>
      <c r="P196" s="49"/>
      <c r="Q196" s="49"/>
      <c r="T196" s="172"/>
      <c r="V196" s="273"/>
      <c r="W196" s="172"/>
      <c r="X196" s="172"/>
      <c r="Y196" s="172"/>
      <c r="Z196" s="172"/>
      <c r="AA196" s="172"/>
      <c r="AB196" s="172"/>
      <c r="AC196" s="172"/>
      <c r="AD196" s="172"/>
      <c r="AE196" s="172"/>
      <c r="AF196" s="172"/>
      <c r="AG196" s="172"/>
      <c r="AH196" s="172"/>
      <c r="AI196" s="172"/>
      <c r="AJ196" s="172"/>
      <c r="AK196" s="172"/>
      <c r="AL196" s="172"/>
      <c r="AM196" s="172"/>
      <c r="AN196" s="172"/>
      <c r="AO196" s="172"/>
      <c r="AP196" s="172"/>
      <c r="AQ196" s="172"/>
      <c r="AR196" s="172"/>
      <c r="AS196" s="172"/>
    </row>
    <row r="197" spans="11:45" ht="13.5" customHeight="1">
      <c r="K197" s="49"/>
      <c r="L197" s="49"/>
      <c r="M197" s="49"/>
      <c r="N197" s="49"/>
      <c r="O197" s="49"/>
      <c r="P197" s="49"/>
      <c r="Q197" s="49"/>
      <c r="T197" s="172"/>
      <c r="V197" s="273"/>
      <c r="W197" s="172"/>
      <c r="X197" s="172"/>
      <c r="Y197" s="172"/>
      <c r="Z197" s="172"/>
      <c r="AA197" s="172"/>
      <c r="AB197" s="172"/>
      <c r="AC197" s="172"/>
      <c r="AD197" s="172"/>
      <c r="AE197" s="172"/>
      <c r="AF197" s="172"/>
      <c r="AG197" s="172"/>
      <c r="AH197" s="172"/>
      <c r="AI197" s="172"/>
      <c r="AJ197" s="172"/>
      <c r="AK197" s="172"/>
      <c r="AL197" s="172"/>
      <c r="AM197" s="172"/>
      <c r="AN197" s="172"/>
      <c r="AO197" s="172"/>
      <c r="AP197" s="172"/>
      <c r="AQ197" s="172"/>
      <c r="AR197" s="172"/>
      <c r="AS197" s="172"/>
    </row>
    <row r="198" spans="11:45" ht="13.5" customHeight="1">
      <c r="K198" s="49"/>
      <c r="L198" s="49"/>
      <c r="M198" s="49"/>
      <c r="N198" s="49"/>
      <c r="O198" s="49"/>
      <c r="P198" s="49"/>
      <c r="Q198" s="49"/>
      <c r="T198" s="172"/>
      <c r="V198" s="273"/>
      <c r="W198" s="172"/>
      <c r="X198" s="172"/>
      <c r="Y198" s="172"/>
      <c r="Z198" s="172"/>
      <c r="AA198" s="172"/>
      <c r="AB198" s="172"/>
      <c r="AC198" s="172"/>
      <c r="AD198" s="172"/>
      <c r="AE198" s="172"/>
      <c r="AF198" s="172"/>
      <c r="AG198" s="172"/>
      <c r="AH198" s="172"/>
      <c r="AI198" s="172"/>
      <c r="AJ198" s="172"/>
      <c r="AK198" s="172"/>
      <c r="AL198" s="172"/>
      <c r="AM198" s="172"/>
      <c r="AN198" s="172"/>
      <c r="AO198" s="172"/>
      <c r="AP198" s="172"/>
      <c r="AQ198" s="172"/>
      <c r="AR198" s="172"/>
      <c r="AS198" s="172"/>
    </row>
    <row r="199" spans="11:45" ht="13.5" customHeight="1">
      <c r="K199" s="49"/>
      <c r="L199" s="49"/>
      <c r="M199" s="49"/>
      <c r="N199" s="49"/>
      <c r="O199" s="49"/>
      <c r="P199" s="49"/>
      <c r="Q199" s="49"/>
      <c r="T199" s="172"/>
      <c r="V199" s="273"/>
      <c r="W199" s="172"/>
      <c r="X199" s="172"/>
      <c r="Y199" s="172"/>
      <c r="Z199" s="172"/>
      <c r="AA199" s="172"/>
      <c r="AB199" s="172"/>
      <c r="AC199" s="172"/>
      <c r="AD199" s="172"/>
      <c r="AE199" s="172"/>
      <c r="AF199" s="172"/>
      <c r="AG199" s="172"/>
      <c r="AH199" s="172"/>
      <c r="AI199" s="172"/>
      <c r="AJ199" s="172"/>
      <c r="AK199" s="172"/>
      <c r="AL199" s="172"/>
      <c r="AM199" s="172"/>
      <c r="AN199" s="172"/>
      <c r="AO199" s="172"/>
      <c r="AP199" s="172"/>
      <c r="AQ199" s="172"/>
      <c r="AR199" s="172"/>
      <c r="AS199" s="172"/>
    </row>
    <row r="200" spans="11:45" ht="13.5" customHeight="1">
      <c r="K200" s="49"/>
      <c r="L200" s="49"/>
      <c r="M200" s="49"/>
      <c r="N200" s="49"/>
      <c r="O200" s="49"/>
      <c r="P200" s="49"/>
      <c r="Q200" s="49"/>
      <c r="T200" s="172"/>
      <c r="V200" s="273"/>
      <c r="W200" s="172"/>
      <c r="X200" s="172"/>
      <c r="Y200" s="172"/>
      <c r="Z200" s="172"/>
      <c r="AA200" s="172"/>
      <c r="AB200" s="172"/>
      <c r="AC200" s="172"/>
      <c r="AD200" s="172"/>
      <c r="AE200" s="172"/>
      <c r="AF200" s="172"/>
      <c r="AG200" s="172"/>
      <c r="AH200" s="172"/>
      <c r="AI200" s="172"/>
      <c r="AJ200" s="172"/>
      <c r="AK200" s="172"/>
      <c r="AL200" s="172"/>
      <c r="AM200" s="172"/>
      <c r="AN200" s="172"/>
      <c r="AO200" s="172"/>
      <c r="AP200" s="172"/>
      <c r="AQ200" s="172"/>
      <c r="AR200" s="172"/>
      <c r="AS200" s="172"/>
    </row>
    <row r="201" spans="11:45" ht="13.5" customHeight="1">
      <c r="K201" s="49"/>
      <c r="L201" s="49"/>
      <c r="M201" s="49"/>
      <c r="N201" s="49"/>
      <c r="O201" s="49"/>
      <c r="P201" s="49"/>
      <c r="Q201" s="49"/>
      <c r="T201" s="172"/>
      <c r="V201" s="273"/>
      <c r="W201" s="172"/>
      <c r="X201" s="172"/>
      <c r="Y201" s="172"/>
      <c r="Z201" s="172"/>
      <c r="AA201" s="172"/>
      <c r="AB201" s="172"/>
      <c r="AC201" s="172"/>
      <c r="AD201" s="172"/>
      <c r="AE201" s="172"/>
      <c r="AF201" s="172"/>
      <c r="AG201" s="172"/>
      <c r="AH201" s="172"/>
      <c r="AI201" s="172"/>
      <c r="AJ201" s="172"/>
      <c r="AK201" s="172"/>
      <c r="AL201" s="172"/>
      <c r="AM201" s="172"/>
      <c r="AN201" s="172"/>
      <c r="AO201" s="172"/>
      <c r="AP201" s="172"/>
      <c r="AQ201" s="172"/>
      <c r="AR201" s="172"/>
      <c r="AS201" s="172"/>
    </row>
    <row r="202" spans="11:45" ht="13.5" customHeight="1">
      <c r="K202" s="49"/>
      <c r="L202" s="49"/>
      <c r="M202" s="49"/>
      <c r="N202" s="49"/>
      <c r="O202" s="49"/>
      <c r="P202" s="49"/>
      <c r="Q202" s="49"/>
      <c r="T202" s="172"/>
      <c r="V202" s="273"/>
      <c r="W202" s="172"/>
      <c r="X202" s="172"/>
      <c r="Y202" s="172"/>
      <c r="Z202" s="172"/>
      <c r="AA202" s="172"/>
      <c r="AB202" s="172"/>
      <c r="AC202" s="172"/>
      <c r="AD202" s="172"/>
      <c r="AE202" s="172"/>
      <c r="AF202" s="172"/>
      <c r="AG202" s="172"/>
      <c r="AH202" s="172"/>
      <c r="AI202" s="172"/>
      <c r="AJ202" s="172"/>
      <c r="AK202" s="172"/>
      <c r="AL202" s="172"/>
      <c r="AM202" s="172"/>
      <c r="AN202" s="172"/>
      <c r="AO202" s="172"/>
      <c r="AP202" s="172"/>
      <c r="AQ202" s="172"/>
      <c r="AR202" s="172"/>
      <c r="AS202" s="172"/>
    </row>
    <row r="203" spans="11:45" ht="13.5" customHeight="1">
      <c r="K203" s="49"/>
      <c r="L203" s="49"/>
      <c r="M203" s="49"/>
      <c r="N203" s="49"/>
      <c r="O203" s="49"/>
      <c r="P203" s="49"/>
      <c r="Q203" s="49"/>
      <c r="T203" s="172"/>
      <c r="V203" s="273"/>
      <c r="W203" s="172"/>
      <c r="X203" s="172"/>
      <c r="Y203" s="172"/>
      <c r="Z203" s="172"/>
      <c r="AA203" s="172"/>
      <c r="AB203" s="172"/>
      <c r="AC203" s="172"/>
      <c r="AD203" s="172"/>
      <c r="AE203" s="172"/>
      <c r="AF203" s="172"/>
      <c r="AG203" s="172"/>
      <c r="AH203" s="172"/>
      <c r="AI203" s="172"/>
      <c r="AJ203" s="172"/>
      <c r="AK203" s="172"/>
      <c r="AL203" s="172"/>
      <c r="AM203" s="172"/>
      <c r="AN203" s="172"/>
      <c r="AO203" s="172"/>
      <c r="AP203" s="172"/>
      <c r="AQ203" s="172"/>
      <c r="AR203" s="172"/>
      <c r="AS203" s="172"/>
    </row>
    <row r="204" spans="11:45" ht="13.5" customHeight="1">
      <c r="K204" s="49"/>
      <c r="L204" s="49"/>
      <c r="M204" s="49"/>
      <c r="N204" s="49"/>
      <c r="O204" s="49"/>
      <c r="P204" s="49"/>
      <c r="Q204" s="49"/>
      <c r="T204" s="172"/>
      <c r="V204" s="273"/>
      <c r="W204" s="172"/>
      <c r="X204" s="172"/>
      <c r="Y204" s="172"/>
      <c r="Z204" s="172"/>
      <c r="AA204" s="172"/>
      <c r="AB204" s="172"/>
      <c r="AC204" s="172"/>
      <c r="AD204" s="172"/>
      <c r="AE204" s="172"/>
      <c r="AF204" s="172"/>
      <c r="AG204" s="172"/>
      <c r="AH204" s="172"/>
      <c r="AI204" s="172"/>
      <c r="AJ204" s="172"/>
      <c r="AK204" s="172"/>
      <c r="AL204" s="172"/>
      <c r="AM204" s="172"/>
      <c r="AN204" s="172"/>
      <c r="AO204" s="172"/>
      <c r="AP204" s="172"/>
      <c r="AQ204" s="172"/>
      <c r="AR204" s="172"/>
      <c r="AS204" s="172"/>
    </row>
    <row r="205" spans="11:45" ht="13.5" customHeight="1">
      <c r="K205" s="49"/>
      <c r="L205" s="49"/>
      <c r="M205" s="49"/>
      <c r="N205" s="49"/>
      <c r="O205" s="49"/>
      <c r="P205" s="49"/>
      <c r="Q205" s="49"/>
      <c r="T205" s="172"/>
      <c r="V205" s="273"/>
      <c r="W205" s="172"/>
      <c r="X205" s="172"/>
      <c r="Y205" s="172"/>
      <c r="Z205" s="172"/>
      <c r="AA205" s="172"/>
      <c r="AB205" s="172"/>
      <c r="AC205" s="172"/>
      <c r="AD205" s="172"/>
      <c r="AE205" s="172"/>
      <c r="AF205" s="172"/>
      <c r="AG205" s="172"/>
      <c r="AH205" s="172"/>
      <c r="AI205" s="172"/>
      <c r="AJ205" s="172"/>
      <c r="AK205" s="172"/>
      <c r="AL205" s="172"/>
      <c r="AM205" s="172"/>
      <c r="AN205" s="172"/>
      <c r="AO205" s="172"/>
      <c r="AP205" s="172"/>
      <c r="AQ205" s="172"/>
      <c r="AR205" s="172"/>
      <c r="AS205" s="172"/>
    </row>
    <row r="206" spans="11:45" ht="13.5" customHeight="1">
      <c r="K206" s="49"/>
      <c r="L206" s="49"/>
      <c r="M206" s="49"/>
      <c r="N206" s="49"/>
      <c r="O206" s="49"/>
      <c r="P206" s="49"/>
      <c r="Q206" s="49"/>
      <c r="T206" s="172"/>
      <c r="V206" s="273"/>
      <c r="W206" s="172"/>
      <c r="X206" s="172"/>
      <c r="Y206" s="172"/>
      <c r="Z206" s="172"/>
      <c r="AA206" s="172"/>
      <c r="AB206" s="172"/>
      <c r="AC206" s="172"/>
      <c r="AD206" s="172"/>
      <c r="AE206" s="172"/>
      <c r="AF206" s="172"/>
      <c r="AG206" s="172"/>
      <c r="AH206" s="172"/>
      <c r="AI206" s="172"/>
      <c r="AJ206" s="172"/>
      <c r="AK206" s="172"/>
      <c r="AL206" s="172"/>
      <c r="AM206" s="172"/>
      <c r="AN206" s="172"/>
      <c r="AO206" s="172"/>
      <c r="AP206" s="172"/>
      <c r="AQ206" s="172"/>
      <c r="AR206" s="172"/>
      <c r="AS206" s="172"/>
    </row>
    <row r="207" spans="11:45" ht="13.5" customHeight="1">
      <c r="K207" s="49"/>
      <c r="L207" s="49"/>
      <c r="M207" s="49"/>
      <c r="N207" s="49"/>
      <c r="O207" s="49"/>
      <c r="P207" s="49"/>
      <c r="Q207" s="49"/>
      <c r="T207" s="172"/>
      <c r="V207" s="273"/>
      <c r="W207" s="172"/>
      <c r="X207" s="172"/>
      <c r="Y207" s="172"/>
      <c r="Z207" s="172"/>
      <c r="AA207" s="172"/>
      <c r="AB207" s="172"/>
      <c r="AC207" s="172"/>
      <c r="AD207" s="172"/>
      <c r="AE207" s="172"/>
      <c r="AF207" s="172"/>
      <c r="AG207" s="172"/>
      <c r="AH207" s="172"/>
      <c r="AI207" s="172"/>
      <c r="AJ207" s="172"/>
      <c r="AK207" s="172"/>
      <c r="AL207" s="172"/>
      <c r="AM207" s="172"/>
      <c r="AN207" s="172"/>
      <c r="AO207" s="172"/>
      <c r="AP207" s="172"/>
      <c r="AQ207" s="172"/>
      <c r="AR207" s="172"/>
      <c r="AS207" s="172"/>
    </row>
    <row r="208" spans="11:45" ht="13.5" customHeight="1">
      <c r="K208" s="49"/>
      <c r="L208" s="49"/>
      <c r="M208" s="49"/>
      <c r="N208" s="49"/>
      <c r="O208" s="49"/>
      <c r="P208" s="49"/>
      <c r="Q208" s="49"/>
      <c r="T208" s="172"/>
      <c r="V208" s="273"/>
      <c r="W208" s="172"/>
      <c r="X208" s="172"/>
      <c r="Y208" s="172"/>
      <c r="Z208" s="172"/>
      <c r="AA208" s="172"/>
      <c r="AB208" s="172"/>
      <c r="AC208" s="172"/>
      <c r="AD208" s="172"/>
      <c r="AE208" s="172"/>
      <c r="AF208" s="172"/>
      <c r="AG208" s="172"/>
      <c r="AH208" s="172"/>
      <c r="AI208" s="172"/>
      <c r="AJ208" s="172"/>
      <c r="AK208" s="172"/>
      <c r="AL208" s="172"/>
      <c r="AM208" s="172"/>
      <c r="AN208" s="172"/>
      <c r="AO208" s="172"/>
      <c r="AP208" s="172"/>
      <c r="AQ208" s="172"/>
      <c r="AR208" s="172"/>
      <c r="AS208" s="172"/>
    </row>
    <row r="209" spans="11:45" ht="13.5" customHeight="1">
      <c r="K209" s="49"/>
      <c r="L209" s="49"/>
      <c r="M209" s="49"/>
      <c r="N209" s="49"/>
      <c r="O209" s="49"/>
      <c r="P209" s="49"/>
      <c r="Q209" s="49"/>
      <c r="T209" s="172"/>
      <c r="V209" s="273"/>
      <c r="W209" s="172"/>
      <c r="X209" s="172"/>
      <c r="Y209" s="172"/>
      <c r="Z209" s="172"/>
      <c r="AA209" s="172"/>
      <c r="AB209" s="172"/>
      <c r="AC209" s="172"/>
      <c r="AD209" s="172"/>
      <c r="AE209" s="172"/>
      <c r="AF209" s="172"/>
      <c r="AG209" s="172"/>
      <c r="AH209" s="172"/>
      <c r="AI209" s="172"/>
      <c r="AJ209" s="172"/>
      <c r="AK209" s="172"/>
      <c r="AL209" s="172"/>
      <c r="AM209" s="172"/>
      <c r="AN209" s="172"/>
      <c r="AO209" s="172"/>
      <c r="AP209" s="172"/>
      <c r="AQ209" s="172"/>
      <c r="AR209" s="172"/>
      <c r="AS209" s="172"/>
    </row>
    <row r="210" spans="11:45" ht="13.5" customHeight="1">
      <c r="K210" s="49"/>
      <c r="L210" s="49"/>
      <c r="M210" s="49"/>
      <c r="N210" s="49"/>
      <c r="O210" s="49"/>
      <c r="P210" s="49"/>
      <c r="Q210" s="49"/>
      <c r="T210" s="172"/>
      <c r="V210" s="273"/>
      <c r="W210" s="172"/>
      <c r="X210" s="172"/>
      <c r="Y210" s="172"/>
      <c r="Z210" s="172"/>
      <c r="AA210" s="172"/>
      <c r="AB210" s="172"/>
      <c r="AC210" s="172"/>
      <c r="AD210" s="172"/>
      <c r="AE210" s="172"/>
      <c r="AF210" s="172"/>
      <c r="AG210" s="172"/>
      <c r="AH210" s="172"/>
      <c r="AI210" s="172"/>
      <c r="AJ210" s="172"/>
      <c r="AK210" s="172"/>
      <c r="AL210" s="172"/>
      <c r="AM210" s="172"/>
      <c r="AN210" s="172"/>
      <c r="AO210" s="172"/>
      <c r="AP210" s="172"/>
      <c r="AQ210" s="172"/>
      <c r="AR210" s="172"/>
      <c r="AS210" s="172"/>
    </row>
    <row r="211" spans="11:45" ht="13.5" customHeight="1">
      <c r="K211" s="49"/>
      <c r="L211" s="49"/>
      <c r="M211" s="49"/>
      <c r="N211" s="49"/>
      <c r="O211" s="49"/>
      <c r="P211" s="49"/>
      <c r="Q211" s="49"/>
      <c r="T211" s="172"/>
      <c r="V211" s="273"/>
      <c r="W211" s="172"/>
      <c r="X211" s="172"/>
      <c r="Y211" s="172"/>
      <c r="Z211" s="172"/>
      <c r="AA211" s="172"/>
      <c r="AB211" s="172"/>
      <c r="AC211" s="172"/>
      <c r="AD211" s="172"/>
      <c r="AE211" s="172"/>
      <c r="AF211" s="172"/>
      <c r="AG211" s="172"/>
      <c r="AH211" s="172"/>
      <c r="AI211" s="172"/>
      <c r="AJ211" s="172"/>
      <c r="AK211" s="172"/>
      <c r="AL211" s="172"/>
      <c r="AM211" s="172"/>
      <c r="AN211" s="172"/>
      <c r="AO211" s="172"/>
      <c r="AP211" s="172"/>
      <c r="AQ211" s="172"/>
      <c r="AR211" s="172"/>
      <c r="AS211" s="172"/>
    </row>
    <row r="212" spans="11:45" ht="13.5" customHeight="1">
      <c r="K212" s="49"/>
      <c r="L212" s="49"/>
      <c r="M212" s="49"/>
      <c r="N212" s="49"/>
      <c r="O212" s="49"/>
      <c r="P212" s="49"/>
      <c r="Q212" s="49"/>
      <c r="T212" s="172"/>
      <c r="V212" s="273"/>
      <c r="W212" s="172"/>
      <c r="X212" s="172"/>
      <c r="Y212" s="172"/>
      <c r="Z212" s="172"/>
      <c r="AA212" s="172"/>
      <c r="AB212" s="172"/>
      <c r="AC212" s="172"/>
      <c r="AD212" s="172"/>
      <c r="AE212" s="172"/>
      <c r="AF212" s="172"/>
      <c r="AG212" s="172"/>
      <c r="AH212" s="172"/>
      <c r="AI212" s="172"/>
      <c r="AJ212" s="172"/>
      <c r="AK212" s="172"/>
      <c r="AL212" s="172"/>
      <c r="AM212" s="172"/>
      <c r="AN212" s="172"/>
      <c r="AO212" s="172"/>
      <c r="AP212" s="172"/>
      <c r="AQ212" s="172"/>
      <c r="AR212" s="172"/>
      <c r="AS212" s="172"/>
    </row>
    <row r="213" spans="11:45" ht="13.5" customHeight="1">
      <c r="K213" s="49"/>
      <c r="L213" s="49"/>
      <c r="M213" s="49"/>
      <c r="N213" s="49"/>
      <c r="O213" s="49"/>
      <c r="P213" s="49"/>
      <c r="Q213" s="49"/>
      <c r="T213" s="172"/>
      <c r="V213" s="273"/>
      <c r="W213" s="172"/>
      <c r="X213" s="172"/>
      <c r="Y213" s="172"/>
      <c r="Z213" s="172"/>
      <c r="AA213" s="172"/>
      <c r="AB213" s="172"/>
      <c r="AC213" s="172"/>
      <c r="AD213" s="172"/>
      <c r="AE213" s="172"/>
      <c r="AF213" s="172"/>
      <c r="AG213" s="172"/>
      <c r="AH213" s="172"/>
      <c r="AI213" s="172"/>
      <c r="AJ213" s="172"/>
      <c r="AK213" s="172"/>
      <c r="AL213" s="172"/>
      <c r="AM213" s="172"/>
      <c r="AN213" s="172"/>
      <c r="AO213" s="172"/>
      <c r="AP213" s="172"/>
      <c r="AQ213" s="172"/>
      <c r="AR213" s="172"/>
      <c r="AS213" s="172"/>
    </row>
    <row r="214" spans="11:45" ht="13.5" customHeight="1">
      <c r="K214" s="49"/>
      <c r="L214" s="49"/>
      <c r="M214" s="49"/>
      <c r="N214" s="49"/>
      <c r="O214" s="49"/>
      <c r="P214" s="49"/>
      <c r="Q214" s="49"/>
      <c r="T214" s="172"/>
      <c r="V214" s="273"/>
      <c r="W214" s="172"/>
      <c r="X214" s="172"/>
      <c r="Y214" s="172"/>
      <c r="Z214" s="172"/>
      <c r="AA214" s="172"/>
      <c r="AB214" s="172"/>
      <c r="AC214" s="172"/>
      <c r="AD214" s="172"/>
      <c r="AE214" s="172"/>
      <c r="AF214" s="172"/>
      <c r="AG214" s="172"/>
      <c r="AH214" s="172"/>
      <c r="AI214" s="172"/>
      <c r="AJ214" s="172"/>
      <c r="AK214" s="172"/>
      <c r="AL214" s="172"/>
      <c r="AM214" s="172"/>
      <c r="AN214" s="172"/>
      <c r="AO214" s="172"/>
      <c r="AP214" s="172"/>
      <c r="AQ214" s="172"/>
      <c r="AR214" s="172"/>
      <c r="AS214" s="172"/>
    </row>
    <row r="215" spans="11:45" ht="13.5" customHeight="1">
      <c r="K215" s="49"/>
      <c r="L215" s="49"/>
      <c r="M215" s="49"/>
      <c r="N215" s="49"/>
      <c r="O215" s="49"/>
      <c r="P215" s="49"/>
      <c r="Q215" s="49"/>
      <c r="T215" s="172"/>
      <c r="V215" s="273"/>
      <c r="W215" s="172"/>
      <c r="X215" s="172"/>
      <c r="Y215" s="172"/>
      <c r="Z215" s="172"/>
      <c r="AA215" s="172"/>
      <c r="AB215" s="172"/>
      <c r="AC215" s="172"/>
      <c r="AD215" s="172"/>
      <c r="AE215" s="172"/>
      <c r="AF215" s="172"/>
      <c r="AG215" s="172"/>
      <c r="AH215" s="172"/>
      <c r="AI215" s="172"/>
      <c r="AJ215" s="172"/>
      <c r="AK215" s="172"/>
      <c r="AL215" s="172"/>
      <c r="AM215" s="172"/>
      <c r="AN215" s="172"/>
      <c r="AO215" s="172"/>
      <c r="AP215" s="172"/>
      <c r="AQ215" s="172"/>
      <c r="AR215" s="172"/>
      <c r="AS215" s="172"/>
    </row>
    <row r="216" spans="11:45" ht="13.5" customHeight="1">
      <c r="K216" s="49"/>
      <c r="L216" s="49"/>
      <c r="M216" s="49"/>
      <c r="N216" s="49"/>
      <c r="O216" s="49"/>
      <c r="P216" s="49"/>
      <c r="Q216" s="49"/>
      <c r="T216" s="172"/>
      <c r="V216" s="273"/>
      <c r="W216" s="172"/>
      <c r="X216" s="172"/>
      <c r="Y216" s="172"/>
      <c r="Z216" s="172"/>
      <c r="AA216" s="172"/>
      <c r="AB216" s="172"/>
      <c r="AC216" s="172"/>
      <c r="AD216" s="172"/>
      <c r="AE216" s="172"/>
      <c r="AF216" s="172"/>
      <c r="AG216" s="172"/>
      <c r="AH216" s="172"/>
      <c r="AI216" s="172"/>
      <c r="AJ216" s="172"/>
      <c r="AK216" s="172"/>
      <c r="AL216" s="172"/>
      <c r="AM216" s="172"/>
      <c r="AN216" s="172"/>
      <c r="AO216" s="172"/>
      <c r="AP216" s="172"/>
      <c r="AQ216" s="172"/>
      <c r="AR216" s="172"/>
      <c r="AS216" s="172"/>
    </row>
    <row r="217" spans="11:45" ht="13.5" customHeight="1">
      <c r="K217" s="49"/>
      <c r="L217" s="49"/>
      <c r="M217" s="49"/>
      <c r="N217" s="49"/>
      <c r="O217" s="49"/>
      <c r="P217" s="49"/>
      <c r="Q217" s="49"/>
      <c r="T217" s="172"/>
      <c r="V217" s="273"/>
      <c r="W217" s="172"/>
      <c r="X217" s="172"/>
      <c r="Y217" s="172"/>
      <c r="Z217" s="172"/>
      <c r="AA217" s="172"/>
      <c r="AB217" s="172"/>
      <c r="AC217" s="172"/>
      <c r="AD217" s="172"/>
      <c r="AE217" s="172"/>
      <c r="AF217" s="172"/>
      <c r="AG217" s="172"/>
      <c r="AH217" s="172"/>
      <c r="AI217" s="172"/>
      <c r="AJ217" s="172"/>
      <c r="AK217" s="172"/>
      <c r="AL217" s="172"/>
      <c r="AM217" s="172"/>
      <c r="AN217" s="172"/>
      <c r="AO217" s="172"/>
      <c r="AP217" s="172"/>
      <c r="AQ217" s="172"/>
      <c r="AR217" s="172"/>
      <c r="AS217" s="172"/>
    </row>
    <row r="218" spans="11:45" ht="13.5" customHeight="1">
      <c r="K218" s="49"/>
      <c r="L218" s="49"/>
      <c r="M218" s="49"/>
      <c r="N218" s="49"/>
      <c r="O218" s="49"/>
      <c r="P218" s="49"/>
      <c r="Q218" s="49"/>
      <c r="T218" s="172"/>
      <c r="V218" s="273"/>
      <c r="W218" s="172"/>
      <c r="X218" s="172"/>
      <c r="Y218" s="172"/>
      <c r="Z218" s="172"/>
      <c r="AA218" s="172"/>
      <c r="AB218" s="172"/>
      <c r="AC218" s="172"/>
      <c r="AD218" s="172"/>
      <c r="AE218" s="172"/>
      <c r="AF218" s="172"/>
      <c r="AG218" s="172"/>
      <c r="AH218" s="172"/>
      <c r="AI218" s="172"/>
      <c r="AJ218" s="172"/>
      <c r="AK218" s="172"/>
      <c r="AL218" s="172"/>
      <c r="AM218" s="172"/>
      <c r="AN218" s="172"/>
      <c r="AO218" s="172"/>
      <c r="AP218" s="172"/>
      <c r="AQ218" s="172"/>
      <c r="AR218" s="172"/>
      <c r="AS218" s="172"/>
    </row>
    <row r="219" spans="11:45" ht="13.5" customHeight="1">
      <c r="K219" s="49"/>
      <c r="L219" s="49"/>
      <c r="M219" s="49"/>
      <c r="N219" s="49"/>
      <c r="O219" s="49"/>
      <c r="P219" s="49"/>
      <c r="Q219" s="49"/>
      <c r="T219" s="172"/>
      <c r="V219" s="273"/>
      <c r="W219" s="172"/>
      <c r="X219" s="172"/>
      <c r="Y219" s="172"/>
      <c r="Z219" s="172"/>
      <c r="AA219" s="172"/>
      <c r="AB219" s="172"/>
      <c r="AC219" s="172"/>
      <c r="AD219" s="172"/>
      <c r="AE219" s="172"/>
      <c r="AF219" s="172"/>
      <c r="AG219" s="172"/>
      <c r="AH219" s="172"/>
      <c r="AI219" s="172"/>
      <c r="AJ219" s="172"/>
      <c r="AK219" s="172"/>
      <c r="AL219" s="172"/>
      <c r="AM219" s="172"/>
      <c r="AN219" s="172"/>
      <c r="AO219" s="172"/>
      <c r="AP219" s="172"/>
      <c r="AQ219" s="172"/>
      <c r="AR219" s="172"/>
      <c r="AS219" s="172"/>
    </row>
    <row r="220" spans="11:45" ht="13.5" customHeight="1">
      <c r="K220" s="49"/>
      <c r="L220" s="49"/>
      <c r="M220" s="49"/>
      <c r="N220" s="49"/>
      <c r="O220" s="49"/>
      <c r="P220" s="49"/>
      <c r="Q220" s="49"/>
      <c r="T220" s="172"/>
      <c r="V220" s="273"/>
      <c r="W220" s="172"/>
      <c r="X220" s="172"/>
      <c r="Y220" s="172"/>
      <c r="Z220" s="172"/>
      <c r="AA220" s="172"/>
      <c r="AB220" s="172"/>
      <c r="AC220" s="172"/>
      <c r="AD220" s="172"/>
      <c r="AE220" s="172"/>
      <c r="AF220" s="172"/>
      <c r="AG220" s="172"/>
      <c r="AH220" s="172"/>
      <c r="AI220" s="172"/>
      <c r="AJ220" s="172"/>
      <c r="AK220" s="172"/>
      <c r="AL220" s="172"/>
      <c r="AM220" s="172"/>
      <c r="AN220" s="172"/>
      <c r="AO220" s="172"/>
      <c r="AP220" s="172"/>
      <c r="AQ220" s="172"/>
      <c r="AR220" s="172"/>
      <c r="AS220" s="172"/>
    </row>
    <row r="221" spans="11:45" ht="13.5" customHeight="1">
      <c r="K221" s="49"/>
      <c r="L221" s="49"/>
      <c r="M221" s="49"/>
      <c r="N221" s="49"/>
      <c r="O221" s="49"/>
      <c r="P221" s="49"/>
      <c r="Q221" s="49"/>
      <c r="T221" s="172"/>
      <c r="V221" s="273"/>
      <c r="W221" s="172"/>
      <c r="X221" s="172"/>
      <c r="Y221" s="172"/>
      <c r="Z221" s="172"/>
      <c r="AA221" s="172"/>
      <c r="AB221" s="172"/>
      <c r="AC221" s="172"/>
      <c r="AD221" s="172"/>
      <c r="AE221" s="172"/>
      <c r="AF221" s="172"/>
      <c r="AG221" s="172"/>
      <c r="AH221" s="172"/>
      <c r="AI221" s="172"/>
      <c r="AJ221" s="172"/>
      <c r="AK221" s="172"/>
      <c r="AL221" s="172"/>
      <c r="AM221" s="172"/>
      <c r="AN221" s="172"/>
      <c r="AO221" s="172"/>
      <c r="AP221" s="172"/>
      <c r="AQ221" s="172"/>
      <c r="AR221" s="172"/>
      <c r="AS221" s="172"/>
    </row>
    <row r="222" spans="11:45" ht="13.5" customHeight="1">
      <c r="K222" s="49"/>
      <c r="L222" s="49"/>
      <c r="M222" s="49"/>
      <c r="N222" s="49"/>
      <c r="O222" s="49"/>
      <c r="P222" s="49"/>
      <c r="Q222" s="49"/>
      <c r="T222" s="172"/>
      <c r="V222" s="273"/>
      <c r="W222" s="172"/>
      <c r="X222" s="172"/>
      <c r="Y222" s="172"/>
      <c r="Z222" s="172"/>
      <c r="AA222" s="172"/>
      <c r="AB222" s="172"/>
      <c r="AC222" s="172"/>
      <c r="AD222" s="172"/>
      <c r="AE222" s="172"/>
      <c r="AF222" s="172"/>
      <c r="AG222" s="172"/>
      <c r="AH222" s="172"/>
      <c r="AI222" s="172"/>
      <c r="AJ222" s="172"/>
      <c r="AK222" s="172"/>
      <c r="AL222" s="172"/>
      <c r="AM222" s="172"/>
      <c r="AN222" s="172"/>
      <c r="AO222" s="172"/>
      <c r="AP222" s="172"/>
      <c r="AQ222" s="172"/>
      <c r="AR222" s="172"/>
      <c r="AS222" s="172"/>
    </row>
    <row r="223" spans="11:45" ht="13.5" customHeight="1">
      <c r="K223" s="49"/>
      <c r="L223" s="49"/>
      <c r="M223" s="49"/>
      <c r="N223" s="49"/>
      <c r="O223" s="49"/>
      <c r="P223" s="49"/>
      <c r="Q223" s="49"/>
      <c r="T223" s="172"/>
      <c r="V223" s="273"/>
      <c r="W223" s="172"/>
      <c r="X223" s="172"/>
      <c r="Y223" s="172"/>
      <c r="Z223" s="172"/>
      <c r="AA223" s="172"/>
      <c r="AB223" s="172"/>
      <c r="AC223" s="172"/>
      <c r="AD223" s="172"/>
      <c r="AE223" s="172"/>
      <c r="AF223" s="172"/>
      <c r="AG223" s="172"/>
      <c r="AH223" s="172"/>
      <c r="AI223" s="172"/>
      <c r="AJ223" s="172"/>
      <c r="AK223" s="172"/>
      <c r="AL223" s="172"/>
      <c r="AM223" s="172"/>
      <c r="AN223" s="172"/>
      <c r="AO223" s="172"/>
      <c r="AP223" s="172"/>
      <c r="AQ223" s="172"/>
      <c r="AR223" s="172"/>
      <c r="AS223" s="172"/>
    </row>
    <row r="224" spans="11:45" ht="13.5" customHeight="1">
      <c r="K224" s="49"/>
      <c r="L224" s="49"/>
      <c r="M224" s="49"/>
      <c r="N224" s="49"/>
      <c r="O224" s="49"/>
      <c r="P224" s="49"/>
      <c r="Q224" s="49"/>
      <c r="T224" s="172"/>
      <c r="V224" s="273"/>
      <c r="W224" s="172"/>
      <c r="X224" s="172"/>
      <c r="Y224" s="172"/>
      <c r="Z224" s="172"/>
      <c r="AA224" s="172"/>
      <c r="AB224" s="172"/>
      <c r="AC224" s="172"/>
      <c r="AD224" s="172"/>
      <c r="AE224" s="172"/>
      <c r="AF224" s="172"/>
      <c r="AG224" s="172"/>
      <c r="AH224" s="172"/>
      <c r="AI224" s="172"/>
      <c r="AJ224" s="172"/>
      <c r="AK224" s="172"/>
      <c r="AL224" s="172"/>
      <c r="AM224" s="172"/>
      <c r="AN224" s="172"/>
      <c r="AO224" s="172"/>
      <c r="AP224" s="172"/>
      <c r="AQ224" s="172"/>
      <c r="AR224" s="172"/>
      <c r="AS224" s="172"/>
    </row>
    <row r="225" spans="11:45" ht="13.5" customHeight="1">
      <c r="K225" s="49"/>
      <c r="L225" s="49"/>
      <c r="M225" s="49"/>
      <c r="N225" s="49"/>
      <c r="O225" s="49"/>
      <c r="P225" s="49"/>
      <c r="Q225" s="49"/>
      <c r="T225" s="172"/>
      <c r="V225" s="273"/>
      <c r="W225" s="172"/>
      <c r="X225" s="172"/>
      <c r="Y225" s="172"/>
      <c r="Z225" s="172"/>
      <c r="AA225" s="172"/>
      <c r="AB225" s="172"/>
      <c r="AC225" s="172"/>
      <c r="AD225" s="172"/>
      <c r="AE225" s="172"/>
      <c r="AF225" s="172"/>
      <c r="AG225" s="172"/>
      <c r="AH225" s="172"/>
      <c r="AI225" s="172"/>
      <c r="AJ225" s="172"/>
      <c r="AK225" s="172"/>
      <c r="AL225" s="172"/>
      <c r="AM225" s="172"/>
      <c r="AN225" s="172"/>
      <c r="AO225" s="172"/>
      <c r="AP225" s="172"/>
      <c r="AQ225" s="172"/>
      <c r="AR225" s="172"/>
      <c r="AS225" s="172"/>
    </row>
    <row r="226" spans="11:45" ht="13.5" customHeight="1">
      <c r="K226" s="49"/>
      <c r="L226" s="49"/>
      <c r="M226" s="49"/>
      <c r="N226" s="49"/>
      <c r="O226" s="49"/>
      <c r="P226" s="49"/>
      <c r="Q226" s="49"/>
      <c r="T226" s="172"/>
      <c r="V226" s="273"/>
      <c r="W226" s="172"/>
      <c r="X226" s="172"/>
      <c r="Y226" s="172"/>
      <c r="Z226" s="172"/>
      <c r="AA226" s="172"/>
      <c r="AB226" s="172"/>
      <c r="AC226" s="172"/>
      <c r="AD226" s="172"/>
      <c r="AE226" s="172"/>
      <c r="AF226" s="172"/>
      <c r="AG226" s="172"/>
      <c r="AH226" s="172"/>
      <c r="AI226" s="172"/>
      <c r="AJ226" s="172"/>
      <c r="AK226" s="172"/>
      <c r="AL226" s="172"/>
      <c r="AM226" s="172"/>
      <c r="AN226" s="172"/>
      <c r="AO226" s="172"/>
      <c r="AP226" s="172"/>
      <c r="AQ226" s="172"/>
      <c r="AR226" s="172"/>
      <c r="AS226" s="172"/>
    </row>
    <row r="227" spans="11:45" ht="13.5" customHeight="1">
      <c r="K227" s="49"/>
      <c r="L227" s="49"/>
      <c r="M227" s="49"/>
      <c r="N227" s="49"/>
      <c r="O227" s="49"/>
      <c r="P227" s="49"/>
      <c r="Q227" s="49"/>
      <c r="T227" s="172"/>
      <c r="V227" s="273"/>
      <c r="W227" s="172"/>
      <c r="X227" s="172"/>
      <c r="Y227" s="172"/>
      <c r="Z227" s="172"/>
      <c r="AA227" s="172"/>
      <c r="AB227" s="172"/>
      <c r="AC227" s="172"/>
      <c r="AD227" s="172"/>
      <c r="AE227" s="172"/>
      <c r="AF227" s="172"/>
      <c r="AG227" s="172"/>
      <c r="AH227" s="172"/>
      <c r="AI227" s="172"/>
      <c r="AJ227" s="172"/>
      <c r="AK227" s="172"/>
      <c r="AL227" s="172"/>
      <c r="AM227" s="172"/>
      <c r="AN227" s="172"/>
      <c r="AO227" s="172"/>
      <c r="AP227" s="172"/>
      <c r="AQ227" s="172"/>
      <c r="AR227" s="172"/>
      <c r="AS227" s="172"/>
    </row>
    <row r="228" spans="11:45" ht="13.5" customHeight="1">
      <c r="K228" s="49"/>
      <c r="L228" s="49"/>
      <c r="M228" s="49"/>
      <c r="N228" s="49"/>
      <c r="O228" s="49"/>
      <c r="P228" s="49"/>
      <c r="Q228" s="49"/>
      <c r="T228" s="172"/>
      <c r="V228" s="273"/>
      <c r="W228" s="172"/>
      <c r="X228" s="172"/>
      <c r="Y228" s="172"/>
      <c r="Z228" s="172"/>
      <c r="AA228" s="172"/>
      <c r="AB228" s="172"/>
      <c r="AC228" s="172"/>
      <c r="AD228" s="172"/>
      <c r="AE228" s="172"/>
      <c r="AF228" s="172"/>
      <c r="AG228" s="172"/>
      <c r="AH228" s="172"/>
      <c r="AI228" s="172"/>
      <c r="AJ228" s="172"/>
      <c r="AK228" s="172"/>
      <c r="AL228" s="172"/>
      <c r="AM228" s="172"/>
      <c r="AN228" s="172"/>
      <c r="AO228" s="172"/>
      <c r="AP228" s="172"/>
      <c r="AQ228" s="172"/>
      <c r="AR228" s="172"/>
      <c r="AS228" s="172"/>
    </row>
    <row r="229" spans="11:45" ht="13.5" customHeight="1">
      <c r="K229" s="49"/>
      <c r="L229" s="49"/>
      <c r="M229" s="49"/>
      <c r="N229" s="49"/>
      <c r="O229" s="49"/>
      <c r="P229" s="49"/>
      <c r="Q229" s="49"/>
      <c r="T229" s="172"/>
      <c r="V229" s="273"/>
      <c r="W229" s="172"/>
      <c r="X229" s="172"/>
      <c r="Y229" s="172"/>
      <c r="Z229" s="172"/>
      <c r="AA229" s="172"/>
      <c r="AB229" s="172"/>
      <c r="AC229" s="172"/>
      <c r="AD229" s="172"/>
      <c r="AE229" s="172"/>
      <c r="AF229" s="172"/>
      <c r="AG229" s="172"/>
      <c r="AH229" s="172"/>
      <c r="AI229" s="172"/>
      <c r="AJ229" s="172"/>
      <c r="AK229" s="172"/>
      <c r="AL229" s="172"/>
      <c r="AM229" s="172"/>
      <c r="AN229" s="172"/>
      <c r="AO229" s="172"/>
      <c r="AP229" s="172"/>
      <c r="AQ229" s="172"/>
      <c r="AR229" s="172"/>
      <c r="AS229" s="172"/>
    </row>
    <row r="230" spans="11:45" ht="13.5" customHeight="1">
      <c r="K230" s="49"/>
      <c r="L230" s="49"/>
      <c r="M230" s="49"/>
      <c r="N230" s="49"/>
      <c r="O230" s="49"/>
      <c r="P230" s="49"/>
      <c r="Q230" s="49"/>
      <c r="T230" s="172"/>
      <c r="V230" s="273"/>
      <c r="W230" s="172"/>
      <c r="X230" s="172"/>
      <c r="Y230" s="172"/>
      <c r="Z230" s="172"/>
      <c r="AA230" s="172"/>
      <c r="AB230" s="172"/>
      <c r="AC230" s="172"/>
      <c r="AD230" s="172"/>
      <c r="AE230" s="172"/>
      <c r="AF230" s="172"/>
      <c r="AG230" s="172"/>
      <c r="AH230" s="172"/>
      <c r="AI230" s="172"/>
      <c r="AJ230" s="172"/>
      <c r="AK230" s="172"/>
      <c r="AL230" s="172"/>
      <c r="AM230" s="172"/>
      <c r="AN230" s="172"/>
      <c r="AO230" s="172"/>
      <c r="AP230" s="172"/>
      <c r="AQ230" s="172"/>
      <c r="AR230" s="172"/>
      <c r="AS230" s="172"/>
    </row>
    <row r="231" spans="11:45" ht="13.5" customHeight="1">
      <c r="K231" s="49"/>
      <c r="L231" s="49"/>
      <c r="M231" s="49"/>
      <c r="N231" s="49"/>
      <c r="O231" s="49"/>
      <c r="P231" s="49"/>
      <c r="Q231" s="49"/>
      <c r="T231" s="172"/>
      <c r="V231" s="273"/>
      <c r="W231" s="172"/>
      <c r="X231" s="172"/>
      <c r="Y231" s="172"/>
      <c r="Z231" s="172"/>
      <c r="AA231" s="172"/>
      <c r="AB231" s="172"/>
      <c r="AC231" s="172"/>
      <c r="AD231" s="172"/>
      <c r="AE231" s="172"/>
      <c r="AF231" s="172"/>
      <c r="AG231" s="172"/>
      <c r="AH231" s="172"/>
      <c r="AI231" s="172"/>
      <c r="AJ231" s="172"/>
      <c r="AK231" s="172"/>
      <c r="AL231" s="172"/>
      <c r="AM231" s="172"/>
      <c r="AN231" s="172"/>
      <c r="AO231" s="172"/>
      <c r="AP231" s="172"/>
      <c r="AQ231" s="172"/>
      <c r="AR231" s="172"/>
      <c r="AS231" s="172"/>
    </row>
    <row r="232" spans="11:45" ht="13.5" customHeight="1">
      <c r="K232" s="49"/>
      <c r="L232" s="49"/>
      <c r="M232" s="49"/>
      <c r="N232" s="49"/>
      <c r="O232" s="49"/>
      <c r="P232" s="49"/>
      <c r="Q232" s="49"/>
      <c r="T232" s="172"/>
      <c r="V232" s="273"/>
      <c r="W232" s="172"/>
      <c r="X232" s="172"/>
      <c r="Y232" s="172"/>
      <c r="Z232" s="172"/>
      <c r="AA232" s="172"/>
      <c r="AB232" s="172"/>
      <c r="AC232" s="172"/>
      <c r="AD232" s="172"/>
      <c r="AE232" s="172"/>
      <c r="AF232" s="172"/>
      <c r="AG232" s="172"/>
      <c r="AH232" s="172"/>
      <c r="AI232" s="172"/>
      <c r="AJ232" s="172"/>
      <c r="AK232" s="172"/>
      <c r="AL232" s="172"/>
      <c r="AM232" s="172"/>
      <c r="AN232" s="172"/>
      <c r="AO232" s="172"/>
      <c r="AP232" s="172"/>
      <c r="AQ232" s="172"/>
      <c r="AR232" s="172"/>
      <c r="AS232" s="172"/>
    </row>
    <row r="233" spans="11:45" ht="13.5" customHeight="1">
      <c r="K233" s="49"/>
      <c r="L233" s="49"/>
      <c r="M233" s="49"/>
      <c r="N233" s="49"/>
      <c r="O233" s="49"/>
      <c r="P233" s="49"/>
      <c r="Q233" s="49"/>
      <c r="T233" s="172"/>
      <c r="V233" s="273"/>
      <c r="W233" s="172"/>
      <c r="X233" s="172"/>
      <c r="Y233" s="172"/>
      <c r="Z233" s="172"/>
      <c r="AA233" s="172"/>
      <c r="AB233" s="172"/>
      <c r="AC233" s="172"/>
      <c r="AD233" s="172"/>
      <c r="AE233" s="172"/>
      <c r="AF233" s="172"/>
      <c r="AG233" s="172"/>
      <c r="AH233" s="172"/>
      <c r="AI233" s="172"/>
      <c r="AJ233" s="172"/>
      <c r="AK233" s="172"/>
      <c r="AL233" s="172"/>
      <c r="AM233" s="172"/>
      <c r="AN233" s="172"/>
      <c r="AO233" s="172"/>
      <c r="AP233" s="172"/>
      <c r="AQ233" s="172"/>
      <c r="AR233" s="172"/>
      <c r="AS233" s="172"/>
    </row>
    <row r="234" spans="11:45" ht="13.5" customHeight="1">
      <c r="K234" s="49"/>
      <c r="L234" s="49"/>
      <c r="M234" s="49"/>
      <c r="N234" s="49"/>
      <c r="O234" s="49"/>
      <c r="P234" s="49"/>
      <c r="Q234" s="49"/>
      <c r="T234" s="172"/>
      <c r="V234" s="273"/>
      <c r="W234" s="172"/>
      <c r="X234" s="172"/>
      <c r="Y234" s="172"/>
      <c r="Z234" s="172"/>
      <c r="AA234" s="172"/>
      <c r="AB234" s="172"/>
      <c r="AC234" s="172"/>
      <c r="AD234" s="172"/>
      <c r="AE234" s="172"/>
      <c r="AF234" s="172"/>
      <c r="AG234" s="172"/>
      <c r="AH234" s="172"/>
      <c r="AI234" s="172"/>
      <c r="AJ234" s="172"/>
      <c r="AK234" s="172"/>
      <c r="AL234" s="172"/>
      <c r="AM234" s="172"/>
      <c r="AN234" s="172"/>
      <c r="AO234" s="172"/>
      <c r="AP234" s="172"/>
      <c r="AQ234" s="172"/>
      <c r="AR234" s="172"/>
      <c r="AS234" s="172"/>
    </row>
    <row r="235" spans="11:45" ht="13.5" customHeight="1">
      <c r="K235" s="49"/>
      <c r="L235" s="49"/>
      <c r="M235" s="49"/>
      <c r="N235" s="49"/>
      <c r="O235" s="49"/>
      <c r="P235" s="49"/>
      <c r="Q235" s="49"/>
      <c r="T235" s="172"/>
      <c r="V235" s="273"/>
      <c r="W235" s="172"/>
      <c r="X235" s="172"/>
      <c r="Y235" s="172"/>
      <c r="Z235" s="172"/>
      <c r="AA235" s="172"/>
      <c r="AB235" s="172"/>
      <c r="AC235" s="172"/>
      <c r="AD235" s="172"/>
      <c r="AE235" s="172"/>
      <c r="AF235" s="172"/>
      <c r="AG235" s="172"/>
      <c r="AH235" s="172"/>
      <c r="AI235" s="172"/>
      <c r="AJ235" s="172"/>
      <c r="AK235" s="172"/>
      <c r="AL235" s="172"/>
      <c r="AM235" s="172"/>
      <c r="AN235" s="172"/>
      <c r="AO235" s="172"/>
      <c r="AP235" s="172"/>
      <c r="AQ235" s="172"/>
      <c r="AR235" s="172"/>
      <c r="AS235" s="172"/>
    </row>
    <row r="236" spans="11:45" ht="13.5" customHeight="1">
      <c r="K236" s="49"/>
      <c r="L236" s="49"/>
      <c r="M236" s="49"/>
      <c r="N236" s="49"/>
      <c r="O236" s="49"/>
      <c r="P236" s="49"/>
      <c r="Q236" s="49"/>
      <c r="T236" s="172"/>
      <c r="V236" s="273"/>
      <c r="W236" s="172"/>
      <c r="X236" s="172"/>
      <c r="Y236" s="172"/>
      <c r="Z236" s="172"/>
      <c r="AA236" s="172"/>
      <c r="AB236" s="172"/>
      <c r="AC236" s="172"/>
      <c r="AD236" s="172"/>
      <c r="AE236" s="172"/>
      <c r="AF236" s="172"/>
      <c r="AG236" s="172"/>
      <c r="AH236" s="172"/>
      <c r="AI236" s="172"/>
      <c r="AJ236" s="172"/>
      <c r="AK236" s="172"/>
      <c r="AL236" s="172"/>
      <c r="AM236" s="172"/>
      <c r="AN236" s="172"/>
      <c r="AO236" s="172"/>
      <c r="AP236" s="172"/>
      <c r="AQ236" s="172"/>
      <c r="AR236" s="172"/>
      <c r="AS236" s="172"/>
    </row>
    <row r="237" spans="11:45" ht="13.5" customHeight="1">
      <c r="K237" s="49"/>
      <c r="L237" s="49"/>
      <c r="M237" s="49"/>
      <c r="N237" s="49"/>
      <c r="O237" s="49"/>
      <c r="P237" s="49"/>
      <c r="Q237" s="49"/>
      <c r="T237" s="172"/>
      <c r="V237" s="273"/>
      <c r="W237" s="172"/>
      <c r="X237" s="172"/>
      <c r="Y237" s="172"/>
      <c r="Z237" s="172"/>
      <c r="AA237" s="172"/>
      <c r="AB237" s="172"/>
      <c r="AC237" s="172"/>
      <c r="AD237" s="172"/>
      <c r="AE237" s="172"/>
      <c r="AF237" s="172"/>
      <c r="AG237" s="172"/>
      <c r="AH237" s="172"/>
      <c r="AI237" s="172"/>
      <c r="AJ237" s="172"/>
      <c r="AK237" s="172"/>
      <c r="AL237" s="172"/>
      <c r="AM237" s="172"/>
      <c r="AN237" s="172"/>
      <c r="AO237" s="172"/>
      <c r="AP237" s="172"/>
      <c r="AQ237" s="172"/>
      <c r="AR237" s="172"/>
      <c r="AS237" s="172"/>
    </row>
    <row r="238" spans="11:45" ht="13.5" customHeight="1">
      <c r="K238" s="49"/>
      <c r="L238" s="49"/>
      <c r="M238" s="49"/>
      <c r="N238" s="49"/>
      <c r="O238" s="49"/>
      <c r="P238" s="49"/>
      <c r="Q238" s="49"/>
      <c r="T238" s="172"/>
      <c r="V238" s="273"/>
      <c r="W238" s="172"/>
      <c r="X238" s="172"/>
      <c r="Y238" s="172"/>
      <c r="Z238" s="172"/>
      <c r="AA238" s="172"/>
      <c r="AB238" s="172"/>
      <c r="AC238" s="172"/>
      <c r="AD238" s="172"/>
      <c r="AE238" s="172"/>
      <c r="AF238" s="172"/>
      <c r="AG238" s="172"/>
      <c r="AH238" s="172"/>
      <c r="AI238" s="172"/>
      <c r="AJ238" s="172"/>
      <c r="AK238" s="172"/>
      <c r="AL238" s="172"/>
      <c r="AM238" s="172"/>
      <c r="AN238" s="172"/>
      <c r="AO238" s="172"/>
      <c r="AP238" s="172"/>
      <c r="AQ238" s="172"/>
      <c r="AR238" s="172"/>
      <c r="AS238" s="172"/>
    </row>
    <row r="239" spans="11:45" ht="13.5" customHeight="1">
      <c r="K239" s="49"/>
      <c r="L239" s="49"/>
      <c r="M239" s="49"/>
      <c r="N239" s="49"/>
      <c r="O239" s="49"/>
      <c r="P239" s="49"/>
      <c r="Q239" s="49"/>
      <c r="T239" s="172"/>
      <c r="V239" s="273"/>
      <c r="W239" s="172"/>
      <c r="X239" s="172"/>
      <c r="Y239" s="172"/>
      <c r="Z239" s="172"/>
      <c r="AA239" s="172"/>
      <c r="AB239" s="172"/>
      <c r="AC239" s="172"/>
      <c r="AD239" s="172"/>
      <c r="AE239" s="172"/>
      <c r="AF239" s="172"/>
      <c r="AG239" s="172"/>
      <c r="AH239" s="172"/>
      <c r="AI239" s="172"/>
      <c r="AJ239" s="172"/>
      <c r="AK239" s="172"/>
      <c r="AL239" s="172"/>
      <c r="AM239" s="172"/>
      <c r="AN239" s="172"/>
      <c r="AO239" s="172"/>
      <c r="AP239" s="172"/>
      <c r="AQ239" s="172"/>
      <c r="AR239" s="172"/>
      <c r="AS239" s="172"/>
    </row>
    <row r="240" spans="11:45" ht="13.5" customHeight="1">
      <c r="K240" s="49"/>
      <c r="L240" s="49"/>
      <c r="M240" s="49"/>
      <c r="N240" s="49"/>
      <c r="O240" s="49"/>
      <c r="P240" s="49"/>
      <c r="Q240" s="49"/>
      <c r="T240" s="172"/>
      <c r="V240" s="273"/>
      <c r="W240" s="172"/>
      <c r="X240" s="172"/>
      <c r="Y240" s="172"/>
      <c r="Z240" s="172"/>
      <c r="AA240" s="172"/>
      <c r="AB240" s="172"/>
      <c r="AC240" s="172"/>
      <c r="AD240" s="172"/>
      <c r="AE240" s="172"/>
      <c r="AF240" s="172"/>
      <c r="AG240" s="172"/>
      <c r="AH240" s="172"/>
      <c r="AI240" s="172"/>
      <c r="AJ240" s="172"/>
      <c r="AK240" s="172"/>
      <c r="AL240" s="172"/>
      <c r="AM240" s="172"/>
      <c r="AN240" s="172"/>
      <c r="AO240" s="172"/>
      <c r="AP240" s="172"/>
      <c r="AQ240" s="172"/>
      <c r="AR240" s="172"/>
      <c r="AS240" s="172"/>
    </row>
    <row r="241" spans="11:45" ht="13.5" customHeight="1">
      <c r="K241" s="49"/>
      <c r="L241" s="49"/>
      <c r="M241" s="49"/>
      <c r="N241" s="49"/>
      <c r="O241" s="49"/>
      <c r="P241" s="49"/>
      <c r="Q241" s="49"/>
      <c r="T241" s="172"/>
      <c r="V241" s="273"/>
      <c r="W241" s="172"/>
      <c r="X241" s="172"/>
      <c r="Y241" s="172"/>
      <c r="Z241" s="172"/>
      <c r="AA241" s="172"/>
      <c r="AB241" s="172"/>
      <c r="AC241" s="172"/>
      <c r="AD241" s="172"/>
      <c r="AE241" s="172"/>
      <c r="AF241" s="172"/>
      <c r="AG241" s="172"/>
      <c r="AH241" s="172"/>
      <c r="AI241" s="172"/>
      <c r="AJ241" s="172"/>
      <c r="AK241" s="172"/>
      <c r="AL241" s="172"/>
      <c r="AM241" s="172"/>
      <c r="AN241" s="172"/>
      <c r="AO241" s="172"/>
      <c r="AP241" s="172"/>
      <c r="AQ241" s="172"/>
      <c r="AR241" s="172"/>
      <c r="AS241" s="172"/>
    </row>
    <row r="242" spans="11:45" ht="13.5" customHeight="1">
      <c r="K242" s="49"/>
      <c r="L242" s="49"/>
      <c r="M242" s="49"/>
      <c r="N242" s="49"/>
      <c r="O242" s="49"/>
      <c r="P242" s="49"/>
      <c r="Q242" s="49"/>
      <c r="T242" s="172"/>
      <c r="V242" s="273"/>
      <c r="W242" s="172"/>
      <c r="X242" s="172"/>
      <c r="Y242" s="172"/>
      <c r="Z242" s="172"/>
      <c r="AA242" s="172"/>
      <c r="AB242" s="172"/>
      <c r="AC242" s="172"/>
      <c r="AD242" s="172"/>
      <c r="AE242" s="172"/>
      <c r="AF242" s="172"/>
      <c r="AG242" s="172"/>
      <c r="AH242" s="172"/>
      <c r="AI242" s="172"/>
      <c r="AJ242" s="172"/>
      <c r="AK242" s="172"/>
      <c r="AL242" s="172"/>
      <c r="AM242" s="172"/>
      <c r="AN242" s="172"/>
      <c r="AO242" s="172"/>
      <c r="AP242" s="172"/>
      <c r="AQ242" s="172"/>
      <c r="AR242" s="172"/>
      <c r="AS242" s="172"/>
    </row>
    <row r="243" spans="11:45" ht="13.5" customHeight="1">
      <c r="K243" s="49"/>
      <c r="L243" s="49"/>
      <c r="M243" s="49"/>
      <c r="N243" s="49"/>
      <c r="O243" s="49"/>
      <c r="P243" s="49"/>
      <c r="Q243" s="49"/>
      <c r="T243" s="172"/>
      <c r="V243" s="273"/>
      <c r="W243" s="172"/>
      <c r="X243" s="172"/>
      <c r="Y243" s="172"/>
      <c r="Z243" s="172"/>
      <c r="AA243" s="172"/>
      <c r="AB243" s="172"/>
      <c r="AC243" s="172"/>
      <c r="AD243" s="172"/>
      <c r="AE243" s="172"/>
      <c r="AF243" s="172"/>
      <c r="AG243" s="172"/>
      <c r="AH243" s="172"/>
      <c r="AI243" s="172"/>
      <c r="AJ243" s="172"/>
      <c r="AK243" s="172"/>
      <c r="AL243" s="172"/>
      <c r="AM243" s="172"/>
      <c r="AN243" s="172"/>
      <c r="AO243" s="172"/>
      <c r="AP243" s="172"/>
      <c r="AQ243" s="172"/>
      <c r="AR243" s="172"/>
      <c r="AS243" s="172"/>
    </row>
    <row r="244" spans="11:45" ht="13.5" customHeight="1">
      <c r="K244" s="49"/>
      <c r="L244" s="49"/>
      <c r="M244" s="49"/>
      <c r="N244" s="49"/>
      <c r="O244" s="49"/>
      <c r="P244" s="49"/>
      <c r="Q244" s="49"/>
      <c r="T244" s="172"/>
      <c r="V244" s="273"/>
      <c r="W244" s="172"/>
      <c r="X244" s="172"/>
      <c r="Y244" s="172"/>
      <c r="Z244" s="172"/>
      <c r="AA244" s="172"/>
      <c r="AB244" s="172"/>
      <c r="AC244" s="172"/>
      <c r="AD244" s="172"/>
      <c r="AE244" s="172"/>
      <c r="AF244" s="172"/>
      <c r="AG244" s="172"/>
      <c r="AH244" s="172"/>
      <c r="AI244" s="172"/>
      <c r="AJ244" s="172"/>
      <c r="AK244" s="172"/>
      <c r="AL244" s="172"/>
      <c r="AM244" s="172"/>
      <c r="AN244" s="172"/>
      <c r="AO244" s="172"/>
      <c r="AP244" s="172"/>
      <c r="AQ244" s="172"/>
      <c r="AR244" s="172"/>
      <c r="AS244" s="172"/>
    </row>
    <row r="245" spans="11:45" ht="13.5" customHeight="1">
      <c r="K245" s="49"/>
      <c r="L245" s="49"/>
      <c r="M245" s="49"/>
      <c r="N245" s="49"/>
      <c r="O245" s="49"/>
      <c r="P245" s="49"/>
      <c r="Q245" s="49"/>
      <c r="T245" s="172"/>
      <c r="V245" s="273"/>
      <c r="W245" s="172"/>
      <c r="X245" s="172"/>
      <c r="Y245" s="172"/>
      <c r="Z245" s="172"/>
      <c r="AA245" s="172"/>
      <c r="AB245" s="172"/>
      <c r="AC245" s="172"/>
      <c r="AD245" s="172"/>
      <c r="AE245" s="172"/>
      <c r="AF245" s="172"/>
      <c r="AG245" s="172"/>
      <c r="AH245" s="172"/>
      <c r="AI245" s="172"/>
      <c r="AJ245" s="172"/>
      <c r="AK245" s="172"/>
      <c r="AL245" s="172"/>
      <c r="AM245" s="172"/>
      <c r="AN245" s="172"/>
      <c r="AO245" s="172"/>
      <c r="AP245" s="172"/>
      <c r="AQ245" s="172"/>
      <c r="AR245" s="172"/>
      <c r="AS245" s="172"/>
    </row>
    <row r="246" spans="11:45" ht="13.5" customHeight="1">
      <c r="K246" s="49"/>
      <c r="L246" s="49"/>
      <c r="M246" s="49"/>
      <c r="N246" s="49"/>
      <c r="O246" s="49"/>
      <c r="P246" s="49"/>
      <c r="Q246" s="49"/>
      <c r="T246" s="172"/>
      <c r="V246" s="273"/>
      <c r="W246" s="172"/>
      <c r="X246" s="172"/>
      <c r="Y246" s="172"/>
      <c r="Z246" s="172"/>
      <c r="AA246" s="172"/>
      <c r="AB246" s="172"/>
      <c r="AC246" s="172"/>
      <c r="AD246" s="172"/>
      <c r="AE246" s="172"/>
      <c r="AF246" s="172"/>
      <c r="AG246" s="172"/>
      <c r="AH246" s="172"/>
      <c r="AI246" s="172"/>
      <c r="AJ246" s="172"/>
      <c r="AK246" s="172"/>
      <c r="AL246" s="172"/>
      <c r="AM246" s="172"/>
      <c r="AN246" s="172"/>
      <c r="AO246" s="172"/>
      <c r="AP246" s="172"/>
      <c r="AQ246" s="172"/>
      <c r="AR246" s="172"/>
      <c r="AS246" s="172"/>
    </row>
    <row r="247" spans="11:45" ht="13.5" customHeight="1">
      <c r="K247" s="49"/>
      <c r="L247" s="49"/>
      <c r="M247" s="49"/>
      <c r="N247" s="49"/>
      <c r="O247" s="49"/>
      <c r="P247" s="49"/>
      <c r="Q247" s="49"/>
      <c r="T247" s="172"/>
      <c r="V247" s="273"/>
      <c r="W247" s="172"/>
      <c r="X247" s="172"/>
      <c r="Y247" s="172"/>
      <c r="Z247" s="172"/>
      <c r="AA247" s="172"/>
      <c r="AB247" s="172"/>
      <c r="AC247" s="172"/>
      <c r="AD247" s="172"/>
      <c r="AE247" s="172"/>
      <c r="AF247" s="172"/>
      <c r="AG247" s="172"/>
      <c r="AH247" s="172"/>
      <c r="AI247" s="172"/>
      <c r="AJ247" s="172"/>
      <c r="AK247" s="172"/>
      <c r="AL247" s="172"/>
      <c r="AM247" s="172"/>
      <c r="AN247" s="172"/>
      <c r="AO247" s="172"/>
      <c r="AP247" s="172"/>
      <c r="AQ247" s="172"/>
      <c r="AR247" s="172"/>
      <c r="AS247" s="172"/>
    </row>
    <row r="248" spans="11:45" ht="13.5" customHeight="1">
      <c r="K248" s="49"/>
      <c r="L248" s="49"/>
      <c r="M248" s="49"/>
      <c r="N248" s="49"/>
      <c r="O248" s="49"/>
      <c r="P248" s="49"/>
      <c r="Q248" s="49"/>
      <c r="T248" s="172"/>
      <c r="V248" s="273"/>
      <c r="W248" s="172"/>
      <c r="X248" s="172"/>
      <c r="Y248" s="172"/>
      <c r="Z248" s="172"/>
      <c r="AA248" s="172"/>
      <c r="AB248" s="172"/>
      <c r="AC248" s="172"/>
      <c r="AD248" s="172"/>
      <c r="AE248" s="172"/>
      <c r="AF248" s="172"/>
      <c r="AG248" s="172"/>
      <c r="AH248" s="172"/>
      <c r="AI248" s="172"/>
      <c r="AJ248" s="172"/>
      <c r="AK248" s="172"/>
      <c r="AL248" s="172"/>
      <c r="AM248" s="172"/>
      <c r="AN248" s="172"/>
      <c r="AO248" s="172"/>
      <c r="AP248" s="172"/>
      <c r="AQ248" s="172"/>
      <c r="AR248" s="172"/>
      <c r="AS248" s="172"/>
    </row>
    <row r="249" spans="11:45" ht="13.5" customHeight="1">
      <c r="K249" s="49"/>
      <c r="L249" s="49"/>
      <c r="M249" s="49"/>
      <c r="N249" s="49"/>
      <c r="O249" s="49"/>
      <c r="P249" s="49"/>
      <c r="Q249" s="49"/>
      <c r="T249" s="172"/>
      <c r="V249" s="273"/>
      <c r="W249" s="172"/>
      <c r="X249" s="172"/>
      <c r="Y249" s="172"/>
      <c r="Z249" s="172"/>
      <c r="AA249" s="172"/>
      <c r="AB249" s="172"/>
      <c r="AC249" s="172"/>
      <c r="AD249" s="172"/>
      <c r="AE249" s="172"/>
      <c r="AF249" s="172"/>
      <c r="AG249" s="172"/>
      <c r="AH249" s="172"/>
      <c r="AI249" s="172"/>
      <c r="AJ249" s="172"/>
      <c r="AK249" s="172"/>
      <c r="AL249" s="172"/>
      <c r="AM249" s="172"/>
      <c r="AN249" s="172"/>
      <c r="AO249" s="172"/>
      <c r="AP249" s="172"/>
      <c r="AQ249" s="172"/>
      <c r="AR249" s="172"/>
      <c r="AS249" s="172"/>
    </row>
    <row r="250" spans="11:45" ht="13.5" customHeight="1">
      <c r="K250" s="49"/>
      <c r="L250" s="49"/>
      <c r="M250" s="49"/>
      <c r="N250" s="49"/>
      <c r="O250" s="49"/>
      <c r="P250" s="49"/>
      <c r="Q250" s="49"/>
      <c r="T250" s="172"/>
      <c r="V250" s="273"/>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row>
    <row r="251" spans="11:45" ht="13.5" customHeight="1">
      <c r="K251" s="49"/>
      <c r="L251" s="49"/>
      <c r="M251" s="49"/>
      <c r="N251" s="49"/>
      <c r="O251" s="49"/>
      <c r="P251" s="49"/>
      <c r="Q251" s="49"/>
      <c r="T251" s="172"/>
      <c r="V251" s="273"/>
      <c r="W251" s="172"/>
      <c r="X251" s="172"/>
      <c r="Y251" s="172"/>
      <c r="Z251" s="172"/>
      <c r="AA251" s="172"/>
      <c r="AB251" s="172"/>
      <c r="AC251" s="172"/>
      <c r="AD251" s="172"/>
      <c r="AE251" s="172"/>
      <c r="AF251" s="172"/>
      <c r="AG251" s="172"/>
      <c r="AH251" s="172"/>
      <c r="AI251" s="172"/>
      <c r="AJ251" s="172"/>
      <c r="AK251" s="172"/>
      <c r="AL251" s="172"/>
      <c r="AM251" s="172"/>
      <c r="AN251" s="172"/>
      <c r="AO251" s="172"/>
      <c r="AP251" s="172"/>
      <c r="AQ251" s="172"/>
      <c r="AR251" s="172"/>
      <c r="AS251" s="172"/>
    </row>
    <row r="252" spans="11:45" ht="13.5" customHeight="1">
      <c r="K252" s="49"/>
      <c r="L252" s="49"/>
      <c r="M252" s="49"/>
      <c r="N252" s="49"/>
      <c r="O252" s="49"/>
      <c r="P252" s="49"/>
      <c r="Q252" s="49"/>
      <c r="T252" s="172"/>
      <c r="V252" s="273"/>
      <c r="W252" s="172"/>
      <c r="X252" s="172"/>
      <c r="Y252" s="172"/>
      <c r="Z252" s="172"/>
      <c r="AA252" s="172"/>
      <c r="AB252" s="172"/>
      <c r="AC252" s="172"/>
      <c r="AD252" s="172"/>
      <c r="AE252" s="172"/>
      <c r="AF252" s="172"/>
      <c r="AG252" s="172"/>
      <c r="AH252" s="172"/>
      <c r="AI252" s="172"/>
      <c r="AJ252" s="172"/>
      <c r="AK252" s="172"/>
      <c r="AL252" s="172"/>
      <c r="AM252" s="172"/>
      <c r="AN252" s="172"/>
      <c r="AO252" s="172"/>
      <c r="AP252" s="172"/>
      <c r="AQ252" s="172"/>
      <c r="AR252" s="172"/>
      <c r="AS252" s="172"/>
    </row>
    <row r="253" spans="11:45" ht="13.5" customHeight="1">
      <c r="K253" s="49"/>
      <c r="L253" s="49"/>
      <c r="M253" s="49"/>
      <c r="N253" s="49"/>
      <c r="O253" s="49"/>
      <c r="P253" s="49"/>
      <c r="Q253" s="49"/>
      <c r="T253" s="172"/>
      <c r="V253" s="273"/>
      <c r="W253" s="172"/>
      <c r="X253" s="172"/>
      <c r="Y253" s="172"/>
      <c r="Z253" s="172"/>
      <c r="AA253" s="172"/>
      <c r="AB253" s="172"/>
      <c r="AC253" s="172"/>
      <c r="AD253" s="172"/>
      <c r="AE253" s="172"/>
      <c r="AF253" s="172"/>
      <c r="AG253" s="172"/>
      <c r="AH253" s="172"/>
      <c r="AI253" s="172"/>
      <c r="AJ253" s="172"/>
      <c r="AK253" s="172"/>
      <c r="AL253" s="172"/>
      <c r="AM253" s="172"/>
      <c r="AN253" s="172"/>
      <c r="AO253" s="172"/>
      <c r="AP253" s="172"/>
      <c r="AQ253" s="172"/>
      <c r="AR253" s="172"/>
      <c r="AS253" s="172"/>
    </row>
    <row r="254" spans="11:45" ht="13.5" customHeight="1">
      <c r="K254" s="49"/>
      <c r="L254" s="49"/>
      <c r="M254" s="49"/>
      <c r="N254" s="49"/>
      <c r="O254" s="49"/>
      <c r="P254" s="49"/>
      <c r="Q254" s="49"/>
      <c r="T254" s="172"/>
      <c r="V254" s="273"/>
      <c r="W254" s="172"/>
      <c r="X254" s="172"/>
      <c r="Y254" s="172"/>
      <c r="Z254" s="172"/>
      <c r="AA254" s="172"/>
      <c r="AB254" s="172"/>
      <c r="AC254" s="172"/>
      <c r="AD254" s="172"/>
      <c r="AE254" s="172"/>
      <c r="AF254" s="172"/>
      <c r="AG254" s="172"/>
      <c r="AH254" s="172"/>
      <c r="AI254" s="172"/>
      <c r="AJ254" s="172"/>
      <c r="AK254" s="172"/>
      <c r="AL254" s="172"/>
      <c r="AM254" s="172"/>
      <c r="AN254" s="172"/>
      <c r="AO254" s="172"/>
      <c r="AP254" s="172"/>
      <c r="AQ254" s="172"/>
      <c r="AR254" s="172"/>
      <c r="AS254" s="172"/>
    </row>
    <row r="255" spans="11:45" ht="13.5" customHeight="1">
      <c r="K255" s="49"/>
      <c r="L255" s="49"/>
      <c r="M255" s="49"/>
      <c r="N255" s="49"/>
      <c r="O255" s="49"/>
      <c r="P255" s="49"/>
      <c r="Q255" s="49"/>
      <c r="T255" s="172"/>
      <c r="V255" s="273"/>
      <c r="W255" s="172"/>
      <c r="X255" s="172"/>
      <c r="Y255" s="172"/>
      <c r="Z255" s="172"/>
      <c r="AA255" s="172"/>
      <c r="AB255" s="172"/>
      <c r="AC255" s="172"/>
      <c r="AD255" s="172"/>
      <c r="AE255" s="172"/>
      <c r="AF255" s="172"/>
      <c r="AG255" s="172"/>
      <c r="AH255" s="172"/>
      <c r="AI255" s="172"/>
      <c r="AJ255" s="172"/>
      <c r="AK255" s="172"/>
      <c r="AL255" s="172"/>
      <c r="AM255" s="172"/>
      <c r="AN255" s="172"/>
      <c r="AO255" s="172"/>
      <c r="AP255" s="172"/>
      <c r="AQ255" s="172"/>
      <c r="AR255" s="172"/>
      <c r="AS255" s="172"/>
    </row>
    <row r="256" spans="11:45" ht="13.5" customHeight="1">
      <c r="K256" s="49"/>
      <c r="L256" s="49"/>
      <c r="M256" s="49"/>
      <c r="N256" s="49"/>
      <c r="O256" s="49"/>
      <c r="P256" s="49"/>
      <c r="Q256" s="49"/>
      <c r="T256" s="172"/>
      <c r="V256" s="273"/>
      <c r="W256" s="172"/>
      <c r="X256" s="172"/>
      <c r="Y256" s="172"/>
      <c r="Z256" s="172"/>
      <c r="AA256" s="172"/>
      <c r="AB256" s="172"/>
      <c r="AC256" s="172"/>
      <c r="AD256" s="172"/>
      <c r="AE256" s="172"/>
      <c r="AF256" s="172"/>
      <c r="AG256" s="172"/>
      <c r="AH256" s="172"/>
      <c r="AI256" s="172"/>
      <c r="AJ256" s="172"/>
      <c r="AK256" s="172"/>
      <c r="AL256" s="172"/>
      <c r="AM256" s="172"/>
      <c r="AN256" s="172"/>
      <c r="AO256" s="172"/>
      <c r="AP256" s="172"/>
      <c r="AQ256" s="172"/>
      <c r="AR256" s="172"/>
      <c r="AS256" s="172"/>
    </row>
    <row r="257" spans="11:45" ht="13.5" customHeight="1">
      <c r="K257" s="49"/>
      <c r="L257" s="49"/>
      <c r="M257" s="49"/>
      <c r="N257" s="49"/>
      <c r="O257" s="49"/>
      <c r="P257" s="49"/>
      <c r="Q257" s="49"/>
      <c r="T257" s="172"/>
      <c r="V257" s="273"/>
      <c r="W257" s="172"/>
      <c r="X257" s="172"/>
      <c r="Y257" s="172"/>
      <c r="Z257" s="172"/>
      <c r="AA257" s="172"/>
      <c r="AB257" s="172"/>
      <c r="AC257" s="172"/>
      <c r="AD257" s="172"/>
      <c r="AE257" s="172"/>
      <c r="AF257" s="172"/>
      <c r="AG257" s="172"/>
      <c r="AH257" s="172"/>
      <c r="AI257" s="172"/>
      <c r="AJ257" s="172"/>
      <c r="AK257" s="172"/>
      <c r="AL257" s="172"/>
      <c r="AM257" s="172"/>
      <c r="AN257" s="172"/>
      <c r="AO257" s="172"/>
      <c r="AP257" s="172"/>
      <c r="AQ257" s="172"/>
      <c r="AR257" s="172"/>
      <c r="AS257" s="172"/>
    </row>
    <row r="258" spans="11:45" ht="13.5" customHeight="1">
      <c r="K258" s="49"/>
      <c r="L258" s="49"/>
      <c r="M258" s="49"/>
      <c r="N258" s="49"/>
      <c r="O258" s="49"/>
      <c r="P258" s="49"/>
      <c r="Q258" s="49"/>
      <c r="T258" s="172"/>
      <c r="V258" s="273"/>
      <c r="W258" s="172"/>
      <c r="X258" s="172"/>
      <c r="Y258" s="172"/>
      <c r="Z258" s="172"/>
      <c r="AA258" s="172"/>
      <c r="AB258" s="172"/>
      <c r="AC258" s="172"/>
      <c r="AD258" s="172"/>
      <c r="AE258" s="172"/>
      <c r="AF258" s="172"/>
      <c r="AG258" s="172"/>
      <c r="AH258" s="172"/>
      <c r="AI258" s="172"/>
      <c r="AJ258" s="172"/>
      <c r="AK258" s="172"/>
      <c r="AL258" s="172"/>
      <c r="AM258" s="172"/>
      <c r="AN258" s="172"/>
      <c r="AO258" s="172"/>
      <c r="AP258" s="172"/>
      <c r="AQ258" s="172"/>
      <c r="AR258" s="172"/>
      <c r="AS258" s="172"/>
    </row>
    <row r="259" spans="11:45" ht="13.5" customHeight="1">
      <c r="K259" s="49"/>
      <c r="L259" s="49"/>
      <c r="M259" s="49"/>
      <c r="N259" s="49"/>
      <c r="O259" s="49"/>
      <c r="P259" s="49"/>
      <c r="Q259" s="49"/>
      <c r="T259" s="172"/>
      <c r="V259" s="273"/>
      <c r="W259" s="172"/>
      <c r="X259" s="172"/>
      <c r="Y259" s="172"/>
      <c r="Z259" s="172"/>
      <c r="AA259" s="172"/>
      <c r="AB259" s="172"/>
      <c r="AC259" s="172"/>
      <c r="AD259" s="172"/>
      <c r="AE259" s="172"/>
      <c r="AF259" s="172"/>
      <c r="AG259" s="172"/>
      <c r="AH259" s="172"/>
      <c r="AI259" s="172"/>
      <c r="AJ259" s="172"/>
      <c r="AK259" s="172"/>
      <c r="AL259" s="172"/>
      <c r="AM259" s="172"/>
      <c r="AN259" s="172"/>
      <c r="AO259" s="172"/>
      <c r="AP259" s="172"/>
      <c r="AQ259" s="172"/>
      <c r="AR259" s="172"/>
      <c r="AS259" s="172"/>
    </row>
    <row r="260" spans="11:45" ht="13.5" customHeight="1">
      <c r="K260" s="49"/>
      <c r="L260" s="49"/>
      <c r="M260" s="49"/>
      <c r="N260" s="49"/>
      <c r="O260" s="49"/>
      <c r="P260" s="49"/>
      <c r="Q260" s="49"/>
      <c r="T260" s="172"/>
      <c r="V260" s="273"/>
      <c r="W260" s="172"/>
      <c r="X260" s="172"/>
      <c r="Y260" s="172"/>
      <c r="Z260" s="172"/>
      <c r="AA260" s="172"/>
      <c r="AB260" s="172"/>
      <c r="AC260" s="172"/>
      <c r="AD260" s="172"/>
      <c r="AE260" s="172"/>
      <c r="AF260" s="172"/>
      <c r="AG260" s="172"/>
      <c r="AH260" s="172"/>
      <c r="AI260" s="172"/>
      <c r="AJ260" s="172"/>
      <c r="AK260" s="172"/>
      <c r="AL260" s="172"/>
      <c r="AM260" s="172"/>
      <c r="AN260" s="172"/>
      <c r="AO260" s="172"/>
      <c r="AP260" s="172"/>
      <c r="AQ260" s="172"/>
      <c r="AR260" s="172"/>
      <c r="AS260" s="172"/>
    </row>
    <row r="261" spans="11:45" ht="13.5" customHeight="1">
      <c r="K261" s="49"/>
      <c r="L261" s="49"/>
      <c r="M261" s="49"/>
      <c r="N261" s="49"/>
      <c r="O261" s="49"/>
      <c r="P261" s="49"/>
      <c r="Q261" s="49"/>
      <c r="T261" s="172"/>
      <c r="V261" s="273"/>
      <c r="W261" s="172"/>
      <c r="X261" s="172"/>
      <c r="Y261" s="172"/>
      <c r="Z261" s="172"/>
      <c r="AA261" s="172"/>
      <c r="AB261" s="172"/>
      <c r="AC261" s="172"/>
      <c r="AD261" s="172"/>
      <c r="AE261" s="172"/>
      <c r="AF261" s="172"/>
      <c r="AG261" s="172"/>
      <c r="AH261" s="172"/>
      <c r="AI261" s="172"/>
      <c r="AJ261" s="172"/>
      <c r="AK261" s="172"/>
      <c r="AL261" s="172"/>
      <c r="AM261" s="172"/>
      <c r="AN261" s="172"/>
      <c r="AO261" s="172"/>
      <c r="AP261" s="172"/>
      <c r="AQ261" s="172"/>
      <c r="AR261" s="172"/>
      <c r="AS261" s="172"/>
    </row>
    <row r="262" spans="11:45" ht="13.5" customHeight="1">
      <c r="K262" s="49"/>
      <c r="L262" s="49"/>
      <c r="M262" s="49"/>
      <c r="N262" s="49"/>
      <c r="O262" s="49"/>
      <c r="P262" s="49"/>
      <c r="Q262" s="49"/>
      <c r="T262" s="172"/>
      <c r="V262" s="273"/>
      <c r="W262" s="172"/>
      <c r="X262" s="172"/>
      <c r="Y262" s="172"/>
      <c r="Z262" s="172"/>
      <c r="AA262" s="172"/>
      <c r="AB262" s="172"/>
      <c r="AC262" s="172"/>
      <c r="AD262" s="172"/>
      <c r="AE262" s="172"/>
      <c r="AF262" s="172"/>
      <c r="AG262" s="172"/>
      <c r="AH262" s="172"/>
      <c r="AI262" s="172"/>
      <c r="AJ262" s="172"/>
      <c r="AK262" s="172"/>
      <c r="AL262" s="172"/>
      <c r="AM262" s="172"/>
      <c r="AN262" s="172"/>
      <c r="AO262" s="172"/>
      <c r="AP262" s="172"/>
      <c r="AQ262" s="172"/>
      <c r="AR262" s="172"/>
      <c r="AS262" s="172"/>
    </row>
    <row r="263" spans="11:45" ht="13.5" customHeight="1">
      <c r="K263" s="49"/>
      <c r="L263" s="49"/>
      <c r="M263" s="49"/>
      <c r="N263" s="49"/>
      <c r="O263" s="49"/>
      <c r="P263" s="49"/>
      <c r="Q263" s="49"/>
      <c r="T263" s="172"/>
      <c r="V263" s="273"/>
      <c r="W263" s="172"/>
      <c r="X263" s="172"/>
      <c r="Y263" s="172"/>
      <c r="Z263" s="172"/>
      <c r="AA263" s="172"/>
      <c r="AB263" s="172"/>
      <c r="AC263" s="172"/>
      <c r="AD263" s="172"/>
      <c r="AE263" s="172"/>
      <c r="AF263" s="172"/>
      <c r="AG263" s="172"/>
      <c r="AH263" s="172"/>
      <c r="AI263" s="172"/>
      <c r="AJ263" s="172"/>
      <c r="AK263" s="172"/>
      <c r="AL263" s="172"/>
      <c r="AM263" s="172"/>
      <c r="AN263" s="172"/>
      <c r="AO263" s="172"/>
      <c r="AP263" s="172"/>
      <c r="AQ263" s="172"/>
      <c r="AR263" s="172"/>
      <c r="AS263" s="172"/>
    </row>
    <row r="264" spans="11:45" ht="13.5" customHeight="1">
      <c r="K264" s="49"/>
      <c r="L264" s="49"/>
      <c r="M264" s="49"/>
      <c r="N264" s="49"/>
      <c r="O264" s="49"/>
      <c r="P264" s="49"/>
      <c r="Q264" s="49"/>
      <c r="T264" s="172"/>
      <c r="V264" s="273"/>
      <c r="W264" s="172"/>
      <c r="X264" s="172"/>
      <c r="Y264" s="172"/>
      <c r="Z264" s="172"/>
      <c r="AA264" s="172"/>
      <c r="AB264" s="172"/>
      <c r="AC264" s="172"/>
      <c r="AD264" s="172"/>
      <c r="AE264" s="172"/>
      <c r="AF264" s="172"/>
      <c r="AG264" s="172"/>
      <c r="AH264" s="172"/>
      <c r="AI264" s="172"/>
      <c r="AJ264" s="172"/>
      <c r="AK264" s="172"/>
      <c r="AL264" s="172"/>
      <c r="AM264" s="172"/>
      <c r="AN264" s="172"/>
      <c r="AO264" s="172"/>
      <c r="AP264" s="172"/>
      <c r="AQ264" s="172"/>
      <c r="AR264" s="172"/>
      <c r="AS264" s="172"/>
    </row>
    <row r="265" spans="11:45" ht="13.5" customHeight="1">
      <c r="K265" s="49"/>
      <c r="L265" s="49"/>
      <c r="M265" s="49"/>
      <c r="N265" s="49"/>
      <c r="O265" s="49"/>
      <c r="P265" s="49"/>
      <c r="Q265" s="49"/>
      <c r="T265" s="172"/>
      <c r="V265" s="273"/>
      <c r="W265" s="172"/>
      <c r="X265" s="172"/>
      <c r="Y265" s="172"/>
      <c r="Z265" s="172"/>
      <c r="AA265" s="172"/>
      <c r="AB265" s="172"/>
      <c r="AC265" s="172"/>
      <c r="AD265" s="172"/>
      <c r="AE265" s="172"/>
      <c r="AF265" s="172"/>
      <c r="AG265" s="172"/>
      <c r="AH265" s="172"/>
      <c r="AI265" s="172"/>
      <c r="AJ265" s="172"/>
      <c r="AK265" s="172"/>
      <c r="AL265" s="172"/>
      <c r="AM265" s="172"/>
      <c r="AN265" s="172"/>
      <c r="AO265" s="172"/>
      <c r="AP265" s="172"/>
      <c r="AQ265" s="172"/>
      <c r="AR265" s="172"/>
      <c r="AS265" s="172"/>
    </row>
    <row r="266" spans="11:45" ht="13.5" customHeight="1">
      <c r="K266" s="49"/>
      <c r="L266" s="49"/>
      <c r="M266" s="49"/>
      <c r="N266" s="49"/>
      <c r="O266" s="49"/>
      <c r="P266" s="49"/>
      <c r="Q266" s="49"/>
      <c r="T266" s="172"/>
      <c r="V266" s="273"/>
      <c r="W266" s="172"/>
      <c r="X266" s="172"/>
      <c r="Y266" s="172"/>
      <c r="Z266" s="172"/>
      <c r="AA266" s="172"/>
      <c r="AB266" s="172"/>
      <c r="AC266" s="172"/>
      <c r="AD266" s="172"/>
      <c r="AE266" s="172"/>
      <c r="AF266" s="172"/>
      <c r="AG266" s="172"/>
      <c r="AH266" s="172"/>
      <c r="AI266" s="172"/>
      <c r="AJ266" s="172"/>
      <c r="AK266" s="172"/>
      <c r="AL266" s="172"/>
      <c r="AM266" s="172"/>
      <c r="AN266" s="172"/>
      <c r="AO266" s="172"/>
      <c r="AP266" s="172"/>
      <c r="AQ266" s="172"/>
      <c r="AR266" s="172"/>
      <c r="AS266" s="172"/>
    </row>
    <row r="267" spans="11:45" ht="13.5" customHeight="1">
      <c r="K267" s="49"/>
      <c r="L267" s="49"/>
      <c r="M267" s="49"/>
      <c r="N267" s="49"/>
      <c r="O267" s="49"/>
      <c r="P267" s="49"/>
      <c r="Q267" s="49"/>
      <c r="T267" s="172"/>
      <c r="V267" s="273"/>
      <c r="W267" s="172"/>
      <c r="X267" s="172"/>
      <c r="Y267" s="172"/>
      <c r="Z267" s="172"/>
      <c r="AA267" s="172"/>
      <c r="AB267" s="172"/>
      <c r="AC267" s="172"/>
      <c r="AD267" s="172"/>
      <c r="AE267" s="172"/>
      <c r="AF267" s="172"/>
      <c r="AG267" s="172"/>
      <c r="AH267" s="172"/>
      <c r="AI267" s="172"/>
      <c r="AJ267" s="172"/>
      <c r="AK267" s="172"/>
      <c r="AL267" s="172"/>
      <c r="AM267" s="172"/>
      <c r="AN267" s="172"/>
      <c r="AO267" s="172"/>
      <c r="AP267" s="172"/>
      <c r="AQ267" s="172"/>
      <c r="AR267" s="172"/>
      <c r="AS267" s="172"/>
    </row>
    <row r="268" spans="11:45" ht="13.5" customHeight="1">
      <c r="K268" s="49"/>
      <c r="L268" s="49"/>
      <c r="M268" s="49"/>
      <c r="N268" s="49"/>
      <c r="O268" s="49"/>
      <c r="P268" s="49"/>
      <c r="Q268" s="49"/>
      <c r="T268" s="172"/>
      <c r="V268" s="273"/>
      <c r="W268" s="172"/>
      <c r="X268" s="172"/>
      <c r="Y268" s="172"/>
      <c r="Z268" s="172"/>
      <c r="AA268" s="172"/>
      <c r="AB268" s="172"/>
      <c r="AC268" s="172"/>
      <c r="AD268" s="172"/>
      <c r="AE268" s="172"/>
      <c r="AF268" s="172"/>
      <c r="AG268" s="172"/>
      <c r="AH268" s="172"/>
      <c r="AI268" s="172"/>
      <c r="AJ268" s="172"/>
      <c r="AK268" s="172"/>
      <c r="AL268" s="172"/>
      <c r="AM268" s="172"/>
      <c r="AN268" s="172"/>
      <c r="AO268" s="172"/>
      <c r="AP268" s="172"/>
      <c r="AQ268" s="172"/>
      <c r="AR268" s="172"/>
      <c r="AS268" s="172"/>
    </row>
    <row r="269" spans="11:45" ht="13.5" customHeight="1">
      <c r="K269" s="49"/>
      <c r="L269" s="49"/>
      <c r="M269" s="49"/>
      <c r="N269" s="49"/>
      <c r="O269" s="49"/>
      <c r="P269" s="49"/>
      <c r="Q269" s="49"/>
      <c r="T269" s="172"/>
      <c r="V269" s="273"/>
      <c r="W269" s="172"/>
      <c r="X269" s="172"/>
      <c r="Y269" s="172"/>
      <c r="Z269" s="172"/>
      <c r="AA269" s="172"/>
      <c r="AB269" s="172"/>
      <c r="AC269" s="172"/>
      <c r="AD269" s="172"/>
      <c r="AE269" s="172"/>
      <c r="AF269" s="172"/>
      <c r="AG269" s="172"/>
      <c r="AH269" s="172"/>
      <c r="AI269" s="172"/>
      <c r="AJ269" s="172"/>
      <c r="AK269" s="172"/>
      <c r="AL269" s="172"/>
      <c r="AM269" s="172"/>
      <c r="AN269" s="172"/>
      <c r="AO269" s="172"/>
      <c r="AP269" s="172"/>
      <c r="AQ269" s="172"/>
      <c r="AR269" s="172"/>
      <c r="AS269" s="172"/>
    </row>
    <row r="270" spans="11:45" ht="13.5" customHeight="1">
      <c r="K270" s="49"/>
      <c r="L270" s="49"/>
      <c r="M270" s="49"/>
      <c r="N270" s="49"/>
      <c r="O270" s="49"/>
      <c r="P270" s="49"/>
      <c r="Q270" s="49"/>
      <c r="T270" s="172"/>
      <c r="V270" s="273"/>
      <c r="W270" s="172"/>
      <c r="X270" s="172"/>
      <c r="Y270" s="172"/>
      <c r="Z270" s="172"/>
      <c r="AA270" s="172"/>
      <c r="AB270" s="172"/>
      <c r="AC270" s="172"/>
      <c r="AD270" s="172"/>
      <c r="AE270" s="172"/>
      <c r="AF270" s="172"/>
      <c r="AG270" s="172"/>
      <c r="AH270" s="172"/>
      <c r="AI270" s="172"/>
      <c r="AJ270" s="172"/>
      <c r="AK270" s="172"/>
      <c r="AL270" s="172"/>
      <c r="AM270" s="172"/>
      <c r="AN270" s="172"/>
      <c r="AO270" s="172"/>
      <c r="AP270" s="172"/>
      <c r="AQ270" s="172"/>
      <c r="AR270" s="172"/>
      <c r="AS270" s="172"/>
    </row>
    <row r="271" spans="11:45" ht="13.5" customHeight="1">
      <c r="K271" s="49"/>
      <c r="L271" s="49"/>
      <c r="M271" s="49"/>
      <c r="N271" s="49"/>
      <c r="O271" s="49"/>
      <c r="P271" s="49"/>
      <c r="Q271" s="49"/>
      <c r="T271" s="172"/>
      <c r="V271" s="273"/>
      <c r="W271" s="172"/>
      <c r="X271" s="172"/>
      <c r="Y271" s="172"/>
      <c r="Z271" s="172"/>
      <c r="AA271" s="172"/>
      <c r="AB271" s="172"/>
      <c r="AC271" s="172"/>
      <c r="AD271" s="172"/>
      <c r="AE271" s="172"/>
      <c r="AF271" s="172"/>
      <c r="AG271" s="172"/>
      <c r="AH271" s="172"/>
      <c r="AI271" s="172"/>
      <c r="AJ271" s="172"/>
      <c r="AK271" s="172"/>
      <c r="AL271" s="172"/>
      <c r="AM271" s="172"/>
      <c r="AN271" s="172"/>
      <c r="AO271" s="172"/>
      <c r="AP271" s="172"/>
      <c r="AQ271" s="172"/>
      <c r="AR271" s="172"/>
      <c r="AS271" s="172"/>
    </row>
    <row r="272" spans="11:45" ht="13.5" customHeight="1">
      <c r="K272" s="49"/>
      <c r="L272" s="49"/>
      <c r="M272" s="49"/>
      <c r="N272" s="49"/>
      <c r="O272" s="49"/>
      <c r="P272" s="49"/>
      <c r="Q272" s="49"/>
      <c r="T272" s="172"/>
      <c r="V272" s="273"/>
      <c r="W272" s="172"/>
      <c r="X272" s="172"/>
      <c r="Y272" s="172"/>
      <c r="Z272" s="172"/>
      <c r="AA272" s="172"/>
      <c r="AB272" s="172"/>
      <c r="AC272" s="172"/>
      <c r="AD272" s="172"/>
      <c r="AE272" s="172"/>
      <c r="AF272" s="172"/>
      <c r="AG272" s="172"/>
      <c r="AH272" s="172"/>
      <c r="AI272" s="172"/>
      <c r="AJ272" s="172"/>
      <c r="AK272" s="172"/>
      <c r="AL272" s="172"/>
      <c r="AM272" s="172"/>
      <c r="AN272" s="172"/>
      <c r="AO272" s="172"/>
      <c r="AP272" s="172"/>
      <c r="AQ272" s="172"/>
      <c r="AR272" s="172"/>
      <c r="AS272" s="172"/>
    </row>
    <row r="273" spans="11:45" ht="13.5" customHeight="1">
      <c r="K273" s="49"/>
      <c r="L273" s="49"/>
      <c r="M273" s="49"/>
      <c r="N273" s="49"/>
      <c r="O273" s="49"/>
      <c r="P273" s="49"/>
      <c r="Q273" s="49"/>
      <c r="T273" s="172"/>
      <c r="V273" s="273"/>
      <c r="W273" s="172"/>
      <c r="X273" s="172"/>
      <c r="Y273" s="172"/>
      <c r="Z273" s="172"/>
      <c r="AA273" s="172"/>
      <c r="AB273" s="172"/>
      <c r="AC273" s="172"/>
      <c r="AD273" s="172"/>
      <c r="AE273" s="172"/>
      <c r="AF273" s="172"/>
      <c r="AG273" s="172"/>
      <c r="AH273" s="172"/>
      <c r="AI273" s="172"/>
      <c r="AJ273" s="172"/>
      <c r="AK273" s="172"/>
      <c r="AL273" s="172"/>
      <c r="AM273" s="172"/>
      <c r="AN273" s="172"/>
      <c r="AO273" s="172"/>
      <c r="AP273" s="172"/>
      <c r="AQ273" s="172"/>
      <c r="AR273" s="172"/>
      <c r="AS273" s="172"/>
    </row>
    <row r="274" spans="11:45" ht="13.5" customHeight="1">
      <c r="K274" s="49"/>
      <c r="L274" s="49"/>
      <c r="M274" s="49"/>
      <c r="N274" s="49"/>
      <c r="O274" s="49"/>
      <c r="P274" s="49"/>
      <c r="Q274" s="49"/>
      <c r="T274" s="172"/>
      <c r="V274" s="273"/>
      <c r="W274" s="172"/>
      <c r="X274" s="172"/>
      <c r="Y274" s="172"/>
      <c r="Z274" s="172"/>
      <c r="AA274" s="172"/>
      <c r="AB274" s="172"/>
      <c r="AC274" s="172"/>
      <c r="AD274" s="172"/>
      <c r="AE274" s="172"/>
      <c r="AF274" s="172"/>
      <c r="AG274" s="172"/>
      <c r="AH274" s="172"/>
      <c r="AI274" s="172"/>
      <c r="AJ274" s="172"/>
      <c r="AK274" s="172"/>
      <c r="AL274" s="172"/>
      <c r="AM274" s="172"/>
      <c r="AN274" s="172"/>
      <c r="AO274" s="172"/>
      <c r="AP274" s="172"/>
      <c r="AQ274" s="172"/>
      <c r="AR274" s="172"/>
      <c r="AS274" s="172"/>
    </row>
    <row r="275" spans="11:45" ht="13.5" customHeight="1">
      <c r="K275" s="49"/>
      <c r="L275" s="49"/>
      <c r="M275" s="49"/>
      <c r="N275" s="49"/>
      <c r="O275" s="49"/>
      <c r="P275" s="49"/>
      <c r="Q275" s="49"/>
      <c r="T275" s="172"/>
      <c r="V275" s="273"/>
      <c r="W275" s="172"/>
      <c r="X275" s="172"/>
      <c r="Y275" s="172"/>
      <c r="Z275" s="172"/>
      <c r="AA275" s="172"/>
      <c r="AB275" s="172"/>
      <c r="AC275" s="172"/>
      <c r="AD275" s="172"/>
      <c r="AE275" s="172"/>
      <c r="AF275" s="172"/>
      <c r="AG275" s="172"/>
      <c r="AH275" s="172"/>
      <c r="AI275" s="172"/>
      <c r="AJ275" s="172"/>
      <c r="AK275" s="172"/>
      <c r="AL275" s="172"/>
      <c r="AM275" s="172"/>
      <c r="AN275" s="172"/>
      <c r="AO275" s="172"/>
      <c r="AP275" s="172"/>
      <c r="AQ275" s="172"/>
      <c r="AR275" s="172"/>
      <c r="AS275" s="172"/>
    </row>
    <row r="276" spans="11:45" ht="13.5" customHeight="1">
      <c r="K276" s="49"/>
      <c r="L276" s="49"/>
      <c r="M276" s="49"/>
      <c r="N276" s="49"/>
      <c r="O276" s="49"/>
      <c r="P276" s="49"/>
      <c r="Q276" s="49"/>
      <c r="T276" s="172"/>
      <c r="V276" s="273"/>
      <c r="W276" s="172"/>
      <c r="X276" s="172"/>
      <c r="Y276" s="172"/>
      <c r="Z276" s="172"/>
      <c r="AA276" s="172"/>
      <c r="AB276" s="172"/>
      <c r="AC276" s="172"/>
      <c r="AD276" s="172"/>
      <c r="AE276" s="172"/>
      <c r="AF276" s="172"/>
      <c r="AG276" s="172"/>
      <c r="AH276" s="172"/>
      <c r="AI276" s="172"/>
      <c r="AJ276" s="172"/>
      <c r="AK276" s="172"/>
      <c r="AL276" s="172"/>
      <c r="AM276" s="172"/>
      <c r="AN276" s="172"/>
      <c r="AO276" s="172"/>
      <c r="AP276" s="172"/>
      <c r="AQ276" s="172"/>
      <c r="AR276" s="172"/>
      <c r="AS276" s="172"/>
    </row>
    <row r="277" spans="11:45" ht="13.5" customHeight="1">
      <c r="K277" s="49"/>
      <c r="L277" s="49"/>
      <c r="M277" s="49"/>
      <c r="N277" s="49"/>
      <c r="O277" s="49"/>
      <c r="P277" s="49"/>
      <c r="Q277" s="49"/>
      <c r="T277" s="172"/>
      <c r="V277" s="273"/>
      <c r="W277" s="172"/>
      <c r="X277" s="172"/>
      <c r="Y277" s="172"/>
      <c r="Z277" s="172"/>
      <c r="AA277" s="172"/>
      <c r="AB277" s="172"/>
      <c r="AC277" s="172"/>
      <c r="AD277" s="172"/>
      <c r="AE277" s="172"/>
      <c r="AF277" s="172"/>
      <c r="AG277" s="172"/>
      <c r="AH277" s="172"/>
      <c r="AI277" s="172"/>
      <c r="AJ277" s="172"/>
      <c r="AK277" s="172"/>
      <c r="AL277" s="172"/>
      <c r="AM277" s="172"/>
      <c r="AN277" s="172"/>
      <c r="AO277" s="172"/>
      <c r="AP277" s="172"/>
      <c r="AQ277" s="172"/>
      <c r="AR277" s="172"/>
      <c r="AS277" s="172"/>
    </row>
    <row r="278" spans="11:45" ht="13.5" customHeight="1">
      <c r="K278" s="49"/>
      <c r="L278" s="49"/>
      <c r="M278" s="49"/>
      <c r="N278" s="49"/>
      <c r="O278" s="49"/>
      <c r="P278" s="49"/>
      <c r="Q278" s="49"/>
      <c r="T278" s="172"/>
      <c r="V278" s="273"/>
      <c r="W278" s="172"/>
      <c r="X278" s="172"/>
      <c r="Y278" s="172"/>
      <c r="Z278" s="172"/>
      <c r="AA278" s="172"/>
      <c r="AB278" s="172"/>
      <c r="AC278" s="172"/>
      <c r="AD278" s="172"/>
      <c r="AE278" s="172"/>
      <c r="AF278" s="172"/>
      <c r="AG278" s="172"/>
      <c r="AH278" s="172"/>
      <c r="AI278" s="172"/>
      <c r="AJ278" s="172"/>
      <c r="AK278" s="172"/>
      <c r="AL278" s="172"/>
      <c r="AM278" s="172"/>
      <c r="AN278" s="172"/>
      <c r="AO278" s="172"/>
      <c r="AP278" s="172"/>
      <c r="AQ278" s="172"/>
      <c r="AR278" s="172"/>
      <c r="AS278" s="172"/>
    </row>
    <row r="279" spans="11:45" ht="13.5" customHeight="1">
      <c r="K279" s="49"/>
      <c r="L279" s="49"/>
      <c r="M279" s="49"/>
      <c r="N279" s="49"/>
      <c r="O279" s="49"/>
      <c r="P279" s="49"/>
      <c r="Q279" s="49"/>
      <c r="T279" s="172"/>
      <c r="V279" s="273"/>
      <c r="W279" s="172"/>
      <c r="X279" s="172"/>
      <c r="Y279" s="172"/>
      <c r="Z279" s="172"/>
      <c r="AA279" s="172"/>
      <c r="AB279" s="172"/>
      <c r="AC279" s="172"/>
      <c r="AD279" s="172"/>
      <c r="AE279" s="172"/>
      <c r="AF279" s="172"/>
      <c r="AG279" s="172"/>
      <c r="AH279" s="172"/>
      <c r="AI279" s="172"/>
      <c r="AJ279" s="172"/>
      <c r="AK279" s="172"/>
      <c r="AL279" s="172"/>
      <c r="AM279" s="172"/>
      <c r="AN279" s="172"/>
      <c r="AO279" s="172"/>
      <c r="AP279" s="172"/>
      <c r="AQ279" s="172"/>
      <c r="AR279" s="172"/>
      <c r="AS279" s="172"/>
    </row>
    <row r="280" spans="11:45" ht="13.5" customHeight="1">
      <c r="K280" s="49"/>
      <c r="L280" s="49"/>
      <c r="M280" s="49"/>
      <c r="N280" s="49"/>
      <c r="O280" s="49"/>
      <c r="P280" s="49"/>
      <c r="Q280" s="49"/>
      <c r="T280" s="172"/>
      <c r="V280" s="273"/>
      <c r="W280" s="172"/>
      <c r="X280" s="172"/>
      <c r="Y280" s="172"/>
      <c r="Z280" s="172"/>
      <c r="AA280" s="172"/>
      <c r="AB280" s="172"/>
      <c r="AC280" s="172"/>
      <c r="AD280" s="172"/>
      <c r="AE280" s="172"/>
      <c r="AF280" s="172"/>
      <c r="AG280" s="172"/>
      <c r="AH280" s="172"/>
      <c r="AI280" s="172"/>
      <c r="AJ280" s="172"/>
      <c r="AK280" s="172"/>
      <c r="AL280" s="172"/>
      <c r="AM280" s="172"/>
      <c r="AN280" s="172"/>
      <c r="AO280" s="172"/>
      <c r="AP280" s="172"/>
      <c r="AQ280" s="172"/>
      <c r="AR280" s="172"/>
      <c r="AS280" s="172"/>
    </row>
    <row r="281" spans="11:45" ht="13.5" customHeight="1">
      <c r="K281" s="49"/>
      <c r="L281" s="49"/>
      <c r="M281" s="49"/>
      <c r="N281" s="49"/>
      <c r="O281" s="49"/>
      <c r="P281" s="49"/>
      <c r="Q281" s="49"/>
      <c r="T281" s="172"/>
      <c r="V281" s="273"/>
      <c r="W281" s="172"/>
      <c r="X281" s="172"/>
      <c r="Y281" s="172"/>
      <c r="Z281" s="172"/>
      <c r="AA281" s="172"/>
      <c r="AB281" s="172"/>
      <c r="AC281" s="172"/>
      <c r="AD281" s="172"/>
      <c r="AE281" s="172"/>
      <c r="AF281" s="172"/>
      <c r="AG281" s="172"/>
      <c r="AH281" s="172"/>
      <c r="AI281" s="172"/>
      <c r="AJ281" s="172"/>
      <c r="AK281" s="172"/>
      <c r="AL281" s="172"/>
      <c r="AM281" s="172"/>
      <c r="AN281" s="172"/>
      <c r="AO281" s="172"/>
      <c r="AP281" s="172"/>
      <c r="AQ281" s="172"/>
      <c r="AR281" s="172"/>
      <c r="AS281" s="172"/>
    </row>
    <row r="282" spans="11:45" ht="13.5" customHeight="1">
      <c r="K282" s="49"/>
      <c r="L282" s="49"/>
      <c r="M282" s="49"/>
      <c r="N282" s="49"/>
      <c r="O282" s="49"/>
      <c r="P282" s="49"/>
      <c r="Q282" s="49"/>
      <c r="T282" s="172"/>
      <c r="V282" s="273"/>
      <c r="W282" s="172"/>
      <c r="X282" s="172"/>
      <c r="Y282" s="172"/>
      <c r="Z282" s="172"/>
      <c r="AA282" s="172"/>
      <c r="AB282" s="172"/>
      <c r="AC282" s="172"/>
      <c r="AD282" s="172"/>
      <c r="AE282" s="172"/>
      <c r="AF282" s="172"/>
      <c r="AG282" s="172"/>
      <c r="AH282" s="172"/>
      <c r="AI282" s="172"/>
      <c r="AJ282" s="172"/>
      <c r="AK282" s="172"/>
      <c r="AL282" s="172"/>
      <c r="AM282" s="172"/>
      <c r="AN282" s="172"/>
      <c r="AO282" s="172"/>
      <c r="AP282" s="172"/>
      <c r="AQ282" s="172"/>
      <c r="AR282" s="172"/>
      <c r="AS282" s="172"/>
    </row>
    <row r="283" spans="11:45" ht="13.5" customHeight="1">
      <c r="K283" s="49"/>
      <c r="L283" s="49"/>
      <c r="M283" s="49"/>
      <c r="N283" s="49"/>
      <c r="O283" s="49"/>
      <c r="P283" s="49"/>
      <c r="Q283" s="49"/>
      <c r="T283" s="172"/>
      <c r="V283" s="273"/>
      <c r="W283" s="172"/>
      <c r="X283" s="172"/>
      <c r="Y283" s="172"/>
      <c r="Z283" s="172"/>
      <c r="AA283" s="172"/>
      <c r="AB283" s="172"/>
      <c r="AC283" s="172"/>
      <c r="AD283" s="172"/>
      <c r="AE283" s="172"/>
      <c r="AF283" s="172"/>
      <c r="AG283" s="172"/>
      <c r="AH283" s="172"/>
      <c r="AI283" s="172"/>
      <c r="AJ283" s="172"/>
      <c r="AK283" s="172"/>
      <c r="AL283" s="172"/>
      <c r="AM283" s="172"/>
      <c r="AN283" s="172"/>
      <c r="AO283" s="172"/>
      <c r="AP283" s="172"/>
      <c r="AQ283" s="172"/>
      <c r="AR283" s="172"/>
      <c r="AS283" s="172"/>
    </row>
    <row r="284" spans="11:45" ht="13.5" customHeight="1">
      <c r="K284" s="49"/>
      <c r="L284" s="49"/>
      <c r="M284" s="49"/>
      <c r="N284" s="49"/>
      <c r="O284" s="49"/>
      <c r="P284" s="49"/>
      <c r="Q284" s="49"/>
      <c r="T284" s="172"/>
      <c r="V284" s="273"/>
      <c r="W284" s="172"/>
      <c r="X284" s="172"/>
      <c r="Y284" s="172"/>
      <c r="Z284" s="172"/>
      <c r="AA284" s="172"/>
      <c r="AB284" s="172"/>
      <c r="AC284" s="172"/>
      <c r="AD284" s="172"/>
      <c r="AE284" s="172"/>
      <c r="AF284" s="172"/>
      <c r="AG284" s="172"/>
      <c r="AH284" s="172"/>
      <c r="AI284" s="172"/>
      <c r="AJ284" s="172"/>
      <c r="AK284" s="172"/>
      <c r="AL284" s="172"/>
      <c r="AM284" s="172"/>
      <c r="AN284" s="172"/>
      <c r="AO284" s="172"/>
      <c r="AP284" s="172"/>
      <c r="AQ284" s="172"/>
      <c r="AR284" s="172"/>
      <c r="AS284" s="172"/>
    </row>
    <row r="285" spans="11:45" ht="13.5" customHeight="1">
      <c r="K285" s="49"/>
      <c r="L285" s="49"/>
      <c r="M285" s="49"/>
      <c r="N285" s="49"/>
      <c r="O285" s="49"/>
      <c r="P285" s="49"/>
      <c r="Q285" s="49"/>
      <c r="T285" s="172"/>
      <c r="V285" s="273"/>
      <c r="W285" s="172"/>
      <c r="X285" s="172"/>
      <c r="Y285" s="172"/>
      <c r="Z285" s="172"/>
      <c r="AA285" s="172"/>
      <c r="AB285" s="172"/>
      <c r="AC285" s="172"/>
      <c r="AD285" s="172"/>
      <c r="AE285" s="172"/>
      <c r="AF285" s="172"/>
      <c r="AG285" s="172"/>
      <c r="AH285" s="172"/>
      <c r="AI285" s="172"/>
      <c r="AJ285" s="172"/>
      <c r="AK285" s="172"/>
      <c r="AL285" s="172"/>
      <c r="AM285" s="172"/>
      <c r="AN285" s="172"/>
      <c r="AO285" s="172"/>
      <c r="AP285" s="172"/>
      <c r="AQ285" s="172"/>
      <c r="AR285" s="172"/>
      <c r="AS285" s="172"/>
    </row>
    <row r="286" spans="11:45" ht="13.5" customHeight="1">
      <c r="K286" s="49"/>
      <c r="L286" s="49"/>
      <c r="M286" s="49"/>
      <c r="N286" s="49"/>
      <c r="O286" s="49"/>
      <c r="P286" s="49"/>
      <c r="Q286" s="49"/>
      <c r="T286" s="172"/>
      <c r="V286" s="273"/>
      <c r="W286" s="172"/>
      <c r="X286" s="172"/>
      <c r="Y286" s="172"/>
      <c r="Z286" s="172"/>
      <c r="AA286" s="172"/>
      <c r="AB286" s="172"/>
      <c r="AC286" s="172"/>
      <c r="AD286" s="172"/>
      <c r="AE286" s="172"/>
      <c r="AF286" s="172"/>
      <c r="AG286" s="172"/>
      <c r="AH286" s="172"/>
      <c r="AI286" s="172"/>
      <c r="AJ286" s="172"/>
      <c r="AK286" s="172"/>
      <c r="AL286" s="172"/>
      <c r="AM286" s="172"/>
      <c r="AN286" s="172"/>
      <c r="AO286" s="172"/>
      <c r="AP286" s="172"/>
      <c r="AQ286" s="172"/>
      <c r="AR286" s="172"/>
      <c r="AS286" s="172"/>
    </row>
    <row r="287" spans="11:45" ht="13.5" customHeight="1">
      <c r="K287" s="49"/>
      <c r="L287" s="49"/>
      <c r="M287" s="49"/>
      <c r="N287" s="49"/>
      <c r="O287" s="49"/>
      <c r="P287" s="49"/>
      <c r="Q287" s="49"/>
      <c r="T287" s="172"/>
      <c r="V287" s="273"/>
      <c r="W287" s="172"/>
      <c r="X287" s="172"/>
      <c r="Y287" s="172"/>
      <c r="Z287" s="172"/>
      <c r="AA287" s="172"/>
      <c r="AB287" s="172"/>
      <c r="AC287" s="172"/>
      <c r="AD287" s="172"/>
      <c r="AE287" s="172"/>
      <c r="AF287" s="172"/>
      <c r="AG287" s="172"/>
      <c r="AH287" s="172"/>
      <c r="AI287" s="172"/>
      <c r="AJ287" s="172"/>
      <c r="AK287" s="172"/>
      <c r="AL287" s="172"/>
      <c r="AM287" s="172"/>
      <c r="AN287" s="172"/>
      <c r="AO287" s="172"/>
      <c r="AP287" s="172"/>
      <c r="AQ287" s="172"/>
      <c r="AR287" s="172"/>
      <c r="AS287" s="172"/>
    </row>
    <row r="288" spans="11:45" ht="13.5" customHeight="1">
      <c r="K288" s="49"/>
      <c r="L288" s="49"/>
      <c r="M288" s="49"/>
      <c r="N288" s="49"/>
      <c r="O288" s="49"/>
      <c r="P288" s="49"/>
      <c r="Q288" s="49"/>
      <c r="T288" s="172"/>
      <c r="V288" s="273"/>
      <c r="W288" s="172"/>
      <c r="X288" s="172"/>
      <c r="Y288" s="172"/>
      <c r="Z288" s="172"/>
      <c r="AA288" s="172"/>
      <c r="AB288" s="172"/>
      <c r="AC288" s="172"/>
      <c r="AD288" s="172"/>
      <c r="AE288" s="172"/>
      <c r="AF288" s="172"/>
      <c r="AG288" s="172"/>
      <c r="AH288" s="172"/>
      <c r="AI288" s="172"/>
      <c r="AJ288" s="172"/>
      <c r="AK288" s="172"/>
      <c r="AL288" s="172"/>
      <c r="AM288" s="172"/>
      <c r="AN288" s="172"/>
      <c r="AO288" s="172"/>
      <c r="AP288" s="172"/>
      <c r="AQ288" s="172"/>
      <c r="AR288" s="172"/>
      <c r="AS288" s="172"/>
    </row>
    <row r="289" spans="11:45" ht="13.5" customHeight="1">
      <c r="K289" s="49"/>
      <c r="L289" s="49"/>
      <c r="M289" s="49"/>
      <c r="N289" s="49"/>
      <c r="O289" s="49"/>
      <c r="P289" s="49"/>
      <c r="Q289" s="49"/>
      <c r="T289" s="172"/>
      <c r="V289" s="273"/>
      <c r="W289" s="172"/>
      <c r="X289" s="172"/>
      <c r="Y289" s="172"/>
      <c r="Z289" s="172"/>
      <c r="AA289" s="172"/>
      <c r="AB289" s="172"/>
      <c r="AC289" s="172"/>
      <c r="AD289" s="172"/>
      <c r="AE289" s="172"/>
      <c r="AF289" s="172"/>
      <c r="AG289" s="172"/>
      <c r="AH289" s="172"/>
      <c r="AI289" s="172"/>
      <c r="AJ289" s="172"/>
      <c r="AK289" s="172"/>
      <c r="AL289" s="172"/>
      <c r="AM289" s="172"/>
      <c r="AN289" s="172"/>
      <c r="AO289" s="172"/>
      <c r="AP289" s="172"/>
      <c r="AQ289" s="172"/>
      <c r="AR289" s="172"/>
      <c r="AS289" s="172"/>
    </row>
    <row r="290" spans="11:45" ht="13.5" customHeight="1">
      <c r="K290" s="49"/>
      <c r="L290" s="49"/>
      <c r="M290" s="49"/>
      <c r="N290" s="49"/>
      <c r="O290" s="49"/>
      <c r="P290" s="49"/>
      <c r="Q290" s="49"/>
      <c r="T290" s="172"/>
      <c r="V290" s="273"/>
      <c r="W290" s="172"/>
      <c r="X290" s="172"/>
      <c r="Y290" s="172"/>
      <c r="Z290" s="172"/>
      <c r="AA290" s="172"/>
      <c r="AB290" s="172"/>
      <c r="AC290" s="172"/>
      <c r="AD290" s="172"/>
      <c r="AE290" s="172"/>
      <c r="AF290" s="172"/>
      <c r="AG290" s="172"/>
      <c r="AH290" s="172"/>
      <c r="AI290" s="172"/>
      <c r="AJ290" s="172"/>
      <c r="AK290" s="172"/>
      <c r="AL290" s="172"/>
      <c r="AM290" s="172"/>
      <c r="AN290" s="172"/>
      <c r="AO290" s="172"/>
      <c r="AP290" s="172"/>
      <c r="AQ290" s="172"/>
      <c r="AR290" s="172"/>
      <c r="AS290" s="172"/>
    </row>
    <row r="291" spans="11:45" ht="13.5" customHeight="1">
      <c r="K291" s="49"/>
      <c r="L291" s="49"/>
      <c r="M291" s="49"/>
      <c r="N291" s="49"/>
      <c r="O291" s="49"/>
      <c r="P291" s="49"/>
      <c r="Q291" s="49"/>
      <c r="T291" s="172"/>
      <c r="V291" s="273"/>
      <c r="W291" s="172"/>
      <c r="X291" s="172"/>
      <c r="Y291" s="172"/>
      <c r="Z291" s="172"/>
      <c r="AA291" s="172"/>
      <c r="AB291" s="172"/>
      <c r="AC291" s="172"/>
      <c r="AD291" s="172"/>
      <c r="AE291" s="172"/>
      <c r="AF291" s="172"/>
      <c r="AG291" s="172"/>
      <c r="AH291" s="172"/>
      <c r="AI291" s="172"/>
      <c r="AJ291" s="172"/>
      <c r="AK291" s="172"/>
      <c r="AL291" s="172"/>
      <c r="AM291" s="172"/>
      <c r="AN291" s="172"/>
      <c r="AO291" s="172"/>
      <c r="AP291" s="172"/>
      <c r="AQ291" s="172"/>
      <c r="AR291" s="172"/>
      <c r="AS291" s="172"/>
    </row>
    <row r="292" spans="11:45" ht="13.5" customHeight="1">
      <c r="K292" s="49"/>
      <c r="L292" s="49"/>
      <c r="M292" s="49"/>
      <c r="N292" s="49"/>
      <c r="O292" s="49"/>
      <c r="P292" s="49"/>
      <c r="Q292" s="49"/>
      <c r="T292" s="172"/>
      <c r="V292" s="273"/>
      <c r="W292" s="172"/>
      <c r="X292" s="172"/>
      <c r="Y292" s="172"/>
      <c r="Z292" s="172"/>
      <c r="AA292" s="172"/>
      <c r="AB292" s="172"/>
      <c r="AC292" s="172"/>
      <c r="AD292" s="172"/>
      <c r="AE292" s="172"/>
      <c r="AF292" s="172"/>
      <c r="AG292" s="172"/>
      <c r="AH292" s="172"/>
      <c r="AI292" s="172"/>
      <c r="AJ292" s="172"/>
      <c r="AK292" s="172"/>
      <c r="AL292" s="172"/>
      <c r="AM292" s="172"/>
      <c r="AN292" s="172"/>
      <c r="AO292" s="172"/>
      <c r="AP292" s="172"/>
      <c r="AQ292" s="172"/>
      <c r="AR292" s="172"/>
      <c r="AS292" s="172"/>
    </row>
    <row r="293" spans="11:45" ht="13.5" customHeight="1">
      <c r="K293" s="49"/>
      <c r="L293" s="49"/>
      <c r="M293" s="49"/>
      <c r="N293" s="49"/>
      <c r="O293" s="49"/>
      <c r="P293" s="49"/>
      <c r="Q293" s="49"/>
      <c r="T293" s="172"/>
      <c r="V293" s="273"/>
      <c r="W293" s="172"/>
      <c r="X293" s="172"/>
      <c r="Y293" s="172"/>
      <c r="Z293" s="172"/>
      <c r="AA293" s="172"/>
      <c r="AB293" s="172"/>
      <c r="AC293" s="172"/>
      <c r="AD293" s="172"/>
      <c r="AE293" s="172"/>
      <c r="AF293" s="172"/>
      <c r="AG293" s="172"/>
      <c r="AH293" s="172"/>
      <c r="AI293" s="172"/>
      <c r="AJ293" s="172"/>
      <c r="AK293" s="172"/>
      <c r="AL293" s="172"/>
      <c r="AM293" s="172"/>
      <c r="AN293" s="172"/>
      <c r="AO293" s="172"/>
      <c r="AP293" s="172"/>
      <c r="AQ293" s="172"/>
      <c r="AR293" s="172"/>
      <c r="AS293" s="172"/>
    </row>
    <row r="294" spans="11:45" ht="13.5" customHeight="1">
      <c r="K294" s="49"/>
      <c r="L294" s="49"/>
      <c r="M294" s="49"/>
      <c r="N294" s="49"/>
      <c r="O294" s="49"/>
      <c r="P294" s="49"/>
      <c r="Q294" s="49"/>
      <c r="T294" s="172"/>
      <c r="V294" s="273"/>
      <c r="W294" s="172"/>
      <c r="X294" s="172"/>
      <c r="Y294" s="172"/>
      <c r="Z294" s="172"/>
      <c r="AA294" s="172"/>
      <c r="AB294" s="172"/>
      <c r="AC294" s="172"/>
      <c r="AD294" s="172"/>
      <c r="AE294" s="172"/>
      <c r="AF294" s="172"/>
      <c r="AG294" s="172"/>
      <c r="AH294" s="172"/>
      <c r="AI294" s="172"/>
      <c r="AJ294" s="172"/>
      <c r="AK294" s="172"/>
      <c r="AL294" s="172"/>
      <c r="AM294" s="172"/>
      <c r="AN294" s="172"/>
      <c r="AO294" s="172"/>
      <c r="AP294" s="172"/>
      <c r="AQ294" s="172"/>
      <c r="AR294" s="172"/>
      <c r="AS294" s="172"/>
    </row>
    <row r="295" spans="11:45" ht="13.5" customHeight="1">
      <c r="K295" s="49"/>
      <c r="L295" s="49"/>
      <c r="M295" s="49"/>
      <c r="N295" s="49"/>
      <c r="O295" s="49"/>
      <c r="P295" s="49"/>
      <c r="Q295" s="49"/>
      <c r="T295" s="172"/>
      <c r="V295" s="273"/>
      <c r="W295" s="172"/>
      <c r="X295" s="172"/>
      <c r="Y295" s="172"/>
      <c r="Z295" s="172"/>
      <c r="AA295" s="172"/>
      <c r="AB295" s="172"/>
      <c r="AC295" s="172"/>
      <c r="AD295" s="172"/>
      <c r="AE295" s="172"/>
      <c r="AF295" s="172"/>
      <c r="AG295" s="172"/>
      <c r="AH295" s="172"/>
      <c r="AI295" s="172"/>
      <c r="AJ295" s="172"/>
      <c r="AK295" s="172"/>
      <c r="AL295" s="172"/>
      <c r="AM295" s="172"/>
      <c r="AN295" s="172"/>
      <c r="AO295" s="172"/>
      <c r="AP295" s="172"/>
      <c r="AQ295" s="172"/>
      <c r="AR295" s="172"/>
      <c r="AS295" s="172"/>
    </row>
    <row r="296" spans="11:45" ht="13.5" customHeight="1">
      <c r="K296" s="49"/>
      <c r="L296" s="49"/>
      <c r="M296" s="49"/>
      <c r="N296" s="49"/>
      <c r="O296" s="49"/>
      <c r="P296" s="49"/>
      <c r="Q296" s="49"/>
      <c r="T296" s="172"/>
      <c r="V296" s="273"/>
      <c r="W296" s="172"/>
      <c r="X296" s="172"/>
      <c r="Y296" s="172"/>
      <c r="Z296" s="172"/>
      <c r="AA296" s="172"/>
      <c r="AB296" s="172"/>
      <c r="AC296" s="172"/>
      <c r="AD296" s="172"/>
      <c r="AE296" s="172"/>
      <c r="AF296" s="172"/>
      <c r="AG296" s="172"/>
      <c r="AH296" s="172"/>
      <c r="AI296" s="172"/>
      <c r="AJ296" s="172"/>
      <c r="AK296" s="172"/>
      <c r="AL296" s="172"/>
      <c r="AM296" s="172"/>
      <c r="AN296" s="172"/>
      <c r="AO296" s="172"/>
      <c r="AP296" s="172"/>
      <c r="AQ296" s="172"/>
      <c r="AR296" s="172"/>
      <c r="AS296" s="172"/>
    </row>
    <row r="297" spans="11:45" ht="13.5" customHeight="1">
      <c r="K297" s="49"/>
      <c r="L297" s="49"/>
      <c r="M297" s="49"/>
      <c r="N297" s="49"/>
      <c r="O297" s="49"/>
      <c r="P297" s="49"/>
      <c r="Q297" s="49"/>
      <c r="T297" s="172"/>
      <c r="V297" s="273"/>
      <c r="W297" s="172"/>
      <c r="X297" s="172"/>
      <c r="Y297" s="172"/>
      <c r="Z297" s="172"/>
      <c r="AA297" s="172"/>
      <c r="AB297" s="172"/>
      <c r="AC297" s="172"/>
      <c r="AD297" s="172"/>
      <c r="AE297" s="172"/>
      <c r="AF297" s="172"/>
      <c r="AG297" s="172"/>
      <c r="AH297" s="172"/>
      <c r="AI297" s="172"/>
      <c r="AJ297" s="172"/>
      <c r="AK297" s="172"/>
      <c r="AL297" s="172"/>
      <c r="AM297" s="172"/>
      <c r="AN297" s="172"/>
      <c r="AO297" s="172"/>
      <c r="AP297" s="172"/>
      <c r="AQ297" s="172"/>
      <c r="AR297" s="172"/>
      <c r="AS297" s="172"/>
    </row>
    <row r="298" spans="11:45" ht="13.5" customHeight="1">
      <c r="K298" s="49"/>
      <c r="L298" s="49"/>
      <c r="M298" s="49"/>
      <c r="N298" s="49"/>
      <c r="O298" s="49"/>
      <c r="P298" s="49"/>
      <c r="Q298" s="49"/>
      <c r="T298" s="172"/>
      <c r="V298" s="273"/>
      <c r="W298" s="172"/>
      <c r="X298" s="172"/>
      <c r="Y298" s="172"/>
      <c r="Z298" s="172"/>
      <c r="AA298" s="172"/>
      <c r="AB298" s="172"/>
      <c r="AC298" s="172"/>
      <c r="AD298" s="172"/>
      <c r="AE298" s="172"/>
      <c r="AF298" s="172"/>
      <c r="AG298" s="172"/>
      <c r="AH298" s="172"/>
      <c r="AI298" s="172"/>
      <c r="AJ298" s="172"/>
      <c r="AK298" s="172"/>
      <c r="AL298" s="172"/>
      <c r="AM298" s="172"/>
      <c r="AN298" s="172"/>
      <c r="AO298" s="172"/>
      <c r="AP298" s="172"/>
      <c r="AQ298" s="172"/>
      <c r="AR298" s="172"/>
      <c r="AS298" s="172"/>
    </row>
    <row r="299" spans="11:45" ht="13.5" customHeight="1">
      <c r="K299" s="49"/>
      <c r="L299" s="49"/>
      <c r="M299" s="49"/>
      <c r="N299" s="49"/>
      <c r="O299" s="49"/>
      <c r="P299" s="49"/>
      <c r="Q299" s="49"/>
      <c r="T299" s="172"/>
      <c r="V299" s="273"/>
      <c r="W299" s="172"/>
      <c r="X299" s="172"/>
      <c r="Y299" s="172"/>
      <c r="Z299" s="172"/>
      <c r="AA299" s="172"/>
      <c r="AB299" s="172"/>
      <c r="AC299" s="172"/>
      <c r="AD299" s="172"/>
      <c r="AE299" s="172"/>
      <c r="AF299" s="172"/>
      <c r="AG299" s="172"/>
      <c r="AH299" s="172"/>
      <c r="AI299" s="172"/>
      <c r="AJ299" s="172"/>
      <c r="AK299" s="172"/>
      <c r="AL299" s="172"/>
      <c r="AM299" s="172"/>
      <c r="AN299" s="172"/>
      <c r="AO299" s="172"/>
      <c r="AP299" s="172"/>
      <c r="AQ299" s="172"/>
      <c r="AR299" s="172"/>
      <c r="AS299" s="172"/>
    </row>
    <row r="300" spans="11:45" ht="13.5" customHeight="1">
      <c r="K300" s="49"/>
      <c r="L300" s="49"/>
      <c r="M300" s="49"/>
      <c r="N300" s="49"/>
      <c r="O300" s="49"/>
      <c r="P300" s="49"/>
      <c r="Q300" s="49"/>
      <c r="T300" s="172"/>
      <c r="V300" s="273"/>
      <c r="W300" s="172"/>
      <c r="X300" s="172"/>
      <c r="Y300" s="172"/>
      <c r="Z300" s="172"/>
      <c r="AA300" s="172"/>
      <c r="AB300" s="172"/>
      <c r="AC300" s="172"/>
      <c r="AD300" s="172"/>
      <c r="AE300" s="172"/>
      <c r="AF300" s="172"/>
      <c r="AG300" s="172"/>
      <c r="AH300" s="172"/>
      <c r="AI300" s="172"/>
      <c r="AJ300" s="172"/>
      <c r="AK300" s="172"/>
      <c r="AL300" s="172"/>
      <c r="AM300" s="172"/>
      <c r="AN300" s="172"/>
      <c r="AO300" s="172"/>
      <c r="AP300" s="172"/>
      <c r="AQ300" s="172"/>
      <c r="AR300" s="172"/>
      <c r="AS300" s="172"/>
    </row>
    <row r="301" spans="11:45" ht="13.5" customHeight="1">
      <c r="K301" s="49"/>
      <c r="L301" s="49"/>
      <c r="M301" s="49"/>
      <c r="N301" s="49"/>
      <c r="O301" s="49"/>
      <c r="P301" s="49"/>
      <c r="Q301" s="49"/>
      <c r="T301" s="172"/>
      <c r="V301" s="273"/>
      <c r="W301" s="172"/>
      <c r="X301" s="172"/>
      <c r="Y301" s="172"/>
      <c r="Z301" s="172"/>
      <c r="AA301" s="172"/>
      <c r="AB301" s="172"/>
      <c r="AC301" s="172"/>
      <c r="AD301" s="172"/>
      <c r="AE301" s="172"/>
      <c r="AF301" s="172"/>
      <c r="AG301" s="172"/>
      <c r="AH301" s="172"/>
      <c r="AI301" s="172"/>
      <c r="AJ301" s="172"/>
      <c r="AK301" s="172"/>
      <c r="AL301" s="172"/>
      <c r="AM301" s="172"/>
      <c r="AN301" s="172"/>
      <c r="AO301" s="172"/>
      <c r="AP301" s="172"/>
      <c r="AQ301" s="172"/>
      <c r="AR301" s="172"/>
      <c r="AS301" s="172"/>
    </row>
    <row r="302" spans="11:45" ht="13.5" customHeight="1">
      <c r="K302" s="49"/>
      <c r="L302" s="49"/>
      <c r="M302" s="49"/>
      <c r="N302" s="49"/>
      <c r="O302" s="49"/>
      <c r="P302" s="49"/>
      <c r="Q302" s="49"/>
      <c r="T302" s="172"/>
      <c r="V302" s="273"/>
      <c r="W302" s="172"/>
      <c r="X302" s="172"/>
      <c r="Y302" s="172"/>
      <c r="Z302" s="172"/>
      <c r="AA302" s="172"/>
      <c r="AB302" s="172"/>
      <c r="AC302" s="172"/>
      <c r="AD302" s="172"/>
      <c r="AE302" s="172"/>
      <c r="AF302" s="172"/>
      <c r="AG302" s="172"/>
      <c r="AH302" s="172"/>
      <c r="AI302" s="172"/>
      <c r="AJ302" s="172"/>
      <c r="AK302" s="172"/>
      <c r="AL302" s="172"/>
      <c r="AM302" s="172"/>
      <c r="AN302" s="172"/>
      <c r="AO302" s="172"/>
      <c r="AP302" s="172"/>
      <c r="AQ302" s="172"/>
      <c r="AR302" s="172"/>
      <c r="AS302" s="172"/>
    </row>
    <row r="303" spans="11:45" ht="13.5" customHeight="1">
      <c r="K303" s="49"/>
      <c r="L303" s="49"/>
      <c r="M303" s="49"/>
      <c r="N303" s="49"/>
      <c r="O303" s="49"/>
      <c r="P303" s="49"/>
      <c r="Q303" s="49"/>
      <c r="T303" s="172"/>
      <c r="V303" s="273"/>
      <c r="W303" s="172"/>
      <c r="X303" s="172"/>
      <c r="Y303" s="172"/>
      <c r="Z303" s="172"/>
      <c r="AA303" s="172"/>
      <c r="AB303" s="172"/>
      <c r="AC303" s="172"/>
      <c r="AD303" s="172"/>
      <c r="AE303" s="172"/>
      <c r="AF303" s="172"/>
      <c r="AG303" s="172"/>
      <c r="AH303" s="172"/>
      <c r="AI303" s="172"/>
      <c r="AJ303" s="172"/>
      <c r="AK303" s="172"/>
      <c r="AL303" s="172"/>
      <c r="AM303" s="172"/>
      <c r="AN303" s="172"/>
      <c r="AO303" s="172"/>
      <c r="AP303" s="172"/>
      <c r="AQ303" s="172"/>
      <c r="AR303" s="172"/>
      <c r="AS303" s="172"/>
    </row>
    <row r="304" spans="11:45" ht="13.5" customHeight="1">
      <c r="K304" s="49"/>
      <c r="L304" s="49"/>
      <c r="M304" s="49"/>
      <c r="N304" s="49"/>
      <c r="O304" s="49"/>
      <c r="P304" s="49"/>
      <c r="Q304" s="49"/>
      <c r="T304" s="172"/>
      <c r="V304" s="273"/>
      <c r="W304" s="172"/>
      <c r="X304" s="172"/>
      <c r="Y304" s="172"/>
      <c r="Z304" s="172"/>
      <c r="AA304" s="172"/>
      <c r="AB304" s="172"/>
      <c r="AC304" s="172"/>
      <c r="AD304" s="172"/>
      <c r="AE304" s="172"/>
      <c r="AF304" s="172"/>
      <c r="AG304" s="172"/>
      <c r="AH304" s="172"/>
      <c r="AI304" s="172"/>
      <c r="AJ304" s="172"/>
      <c r="AK304" s="172"/>
      <c r="AL304" s="172"/>
      <c r="AM304" s="172"/>
      <c r="AN304" s="172"/>
      <c r="AO304" s="172"/>
      <c r="AP304" s="172"/>
      <c r="AQ304" s="172"/>
      <c r="AR304" s="172"/>
      <c r="AS304" s="172"/>
    </row>
    <row r="305" spans="11:45" ht="13.5" customHeight="1">
      <c r="K305" s="49"/>
      <c r="L305" s="49"/>
      <c r="M305" s="49"/>
      <c r="N305" s="49"/>
      <c r="O305" s="49"/>
      <c r="P305" s="49"/>
      <c r="Q305" s="49"/>
      <c r="T305" s="172"/>
      <c r="V305" s="273"/>
      <c r="W305" s="172"/>
      <c r="X305" s="172"/>
      <c r="Y305" s="172"/>
      <c r="Z305" s="172"/>
      <c r="AA305" s="172"/>
      <c r="AB305" s="172"/>
      <c r="AC305" s="172"/>
      <c r="AD305" s="172"/>
      <c r="AE305" s="172"/>
      <c r="AF305" s="172"/>
      <c r="AG305" s="172"/>
      <c r="AH305" s="172"/>
      <c r="AI305" s="172"/>
      <c r="AJ305" s="172"/>
      <c r="AK305" s="172"/>
      <c r="AL305" s="172"/>
      <c r="AM305" s="172"/>
      <c r="AN305" s="172"/>
      <c r="AO305" s="172"/>
      <c r="AP305" s="172"/>
      <c r="AQ305" s="172"/>
      <c r="AR305" s="172"/>
      <c r="AS305" s="172"/>
    </row>
    <row r="306" spans="11:45" ht="13.5" customHeight="1">
      <c r="K306" s="49"/>
      <c r="L306" s="49"/>
      <c r="M306" s="49"/>
      <c r="N306" s="49"/>
      <c r="O306" s="49"/>
      <c r="P306" s="49"/>
      <c r="Q306" s="49"/>
      <c r="T306" s="172"/>
      <c r="V306" s="273"/>
      <c r="W306" s="172"/>
      <c r="X306" s="172"/>
      <c r="Y306" s="172"/>
      <c r="Z306" s="172"/>
      <c r="AA306" s="172"/>
      <c r="AB306" s="172"/>
      <c r="AC306" s="172"/>
      <c r="AD306" s="172"/>
      <c r="AE306" s="172"/>
      <c r="AF306" s="172"/>
      <c r="AG306" s="172"/>
      <c r="AH306" s="172"/>
      <c r="AI306" s="172"/>
      <c r="AJ306" s="172"/>
      <c r="AK306" s="172"/>
      <c r="AL306" s="172"/>
      <c r="AM306" s="172"/>
      <c r="AN306" s="172"/>
      <c r="AO306" s="172"/>
      <c r="AP306" s="172"/>
      <c r="AQ306" s="172"/>
      <c r="AR306" s="172"/>
      <c r="AS306" s="172"/>
    </row>
    <row r="307" spans="11:45" ht="13.5" customHeight="1">
      <c r="K307" s="49"/>
      <c r="L307" s="49"/>
      <c r="M307" s="49"/>
      <c r="N307" s="49"/>
      <c r="O307" s="49"/>
      <c r="P307" s="49"/>
      <c r="Q307" s="49"/>
      <c r="T307" s="172"/>
      <c r="V307" s="273"/>
      <c r="W307" s="172"/>
      <c r="X307" s="172"/>
      <c r="Y307" s="172"/>
      <c r="Z307" s="172"/>
      <c r="AA307" s="172"/>
      <c r="AB307" s="172"/>
      <c r="AC307" s="172"/>
      <c r="AD307" s="172"/>
      <c r="AE307" s="172"/>
      <c r="AF307" s="172"/>
      <c r="AG307" s="172"/>
      <c r="AH307" s="172"/>
      <c r="AI307" s="172"/>
      <c r="AJ307" s="172"/>
      <c r="AK307" s="172"/>
      <c r="AL307" s="172"/>
      <c r="AM307" s="172"/>
      <c r="AN307" s="172"/>
      <c r="AO307" s="172"/>
      <c r="AP307" s="172"/>
      <c r="AQ307" s="172"/>
      <c r="AR307" s="172"/>
      <c r="AS307" s="172"/>
    </row>
    <row r="308" spans="11:45" ht="13.5" customHeight="1">
      <c r="K308" s="49"/>
      <c r="L308" s="49"/>
      <c r="M308" s="49"/>
      <c r="N308" s="49"/>
      <c r="O308" s="49"/>
      <c r="P308" s="49"/>
      <c r="Q308" s="49"/>
      <c r="T308" s="172"/>
      <c r="V308" s="273"/>
      <c r="W308" s="172"/>
      <c r="X308" s="172"/>
      <c r="Y308" s="172"/>
      <c r="Z308" s="172"/>
      <c r="AA308" s="172"/>
      <c r="AB308" s="172"/>
      <c r="AC308" s="172"/>
      <c r="AD308" s="172"/>
      <c r="AE308" s="172"/>
      <c r="AF308" s="172"/>
      <c r="AG308" s="172"/>
      <c r="AH308" s="172"/>
      <c r="AI308" s="172"/>
      <c r="AJ308" s="172"/>
      <c r="AK308" s="172"/>
      <c r="AL308" s="172"/>
      <c r="AM308" s="172"/>
      <c r="AN308" s="172"/>
      <c r="AO308" s="172"/>
      <c r="AP308" s="172"/>
      <c r="AQ308" s="172"/>
      <c r="AR308" s="172"/>
      <c r="AS308" s="172"/>
    </row>
    <row r="309" spans="11:45" ht="13.5" customHeight="1">
      <c r="K309" s="49"/>
      <c r="L309" s="49"/>
      <c r="M309" s="49"/>
      <c r="N309" s="49"/>
      <c r="O309" s="49"/>
      <c r="P309" s="49"/>
      <c r="Q309" s="49"/>
      <c r="T309" s="172"/>
      <c r="V309" s="273"/>
      <c r="W309" s="172"/>
      <c r="X309" s="172"/>
      <c r="Y309" s="172"/>
      <c r="Z309" s="172"/>
      <c r="AA309" s="172"/>
      <c r="AB309" s="172"/>
      <c r="AC309" s="172"/>
      <c r="AD309" s="172"/>
      <c r="AE309" s="172"/>
      <c r="AF309" s="172"/>
      <c r="AG309" s="172"/>
      <c r="AH309" s="172"/>
      <c r="AI309" s="172"/>
      <c r="AJ309" s="172"/>
      <c r="AK309" s="172"/>
      <c r="AL309" s="172"/>
      <c r="AM309" s="172"/>
      <c r="AN309" s="172"/>
      <c r="AO309" s="172"/>
      <c r="AP309" s="172"/>
      <c r="AQ309" s="172"/>
      <c r="AR309" s="172"/>
      <c r="AS309" s="172"/>
    </row>
    <row r="310" spans="11:45" ht="13.5" customHeight="1">
      <c r="K310" s="49"/>
      <c r="L310" s="49"/>
      <c r="M310" s="49"/>
      <c r="N310" s="49"/>
      <c r="O310" s="49"/>
      <c r="P310" s="49"/>
      <c r="Q310" s="49"/>
      <c r="T310" s="172"/>
      <c r="V310" s="273"/>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row>
    <row r="311" spans="11:45" ht="13.5" customHeight="1">
      <c r="K311" s="49"/>
      <c r="L311" s="49"/>
      <c r="M311" s="49"/>
      <c r="N311" s="49"/>
      <c r="O311" s="49"/>
      <c r="P311" s="49"/>
      <c r="Q311" s="49"/>
      <c r="T311" s="172"/>
      <c r="V311" s="273"/>
      <c r="W311" s="172"/>
      <c r="X311" s="172"/>
      <c r="Y311" s="172"/>
      <c r="Z311" s="172"/>
      <c r="AA311" s="172"/>
      <c r="AB311" s="172"/>
      <c r="AC311" s="172"/>
      <c r="AD311" s="172"/>
      <c r="AE311" s="172"/>
      <c r="AF311" s="172"/>
      <c r="AG311" s="172"/>
      <c r="AH311" s="172"/>
      <c r="AI311" s="172"/>
      <c r="AJ311" s="172"/>
      <c r="AK311" s="172"/>
      <c r="AL311" s="172"/>
      <c r="AM311" s="172"/>
      <c r="AN311" s="172"/>
      <c r="AO311" s="172"/>
      <c r="AP311" s="172"/>
      <c r="AQ311" s="172"/>
      <c r="AR311" s="172"/>
      <c r="AS311" s="172"/>
    </row>
    <row r="312" spans="11:45" ht="13.5" customHeight="1">
      <c r="K312" s="49"/>
      <c r="L312" s="49"/>
      <c r="M312" s="49"/>
      <c r="N312" s="49"/>
      <c r="O312" s="49"/>
      <c r="P312" s="49"/>
      <c r="Q312" s="49"/>
      <c r="T312" s="172"/>
      <c r="V312" s="273"/>
      <c r="W312" s="172"/>
      <c r="X312" s="172"/>
      <c r="Y312" s="172"/>
      <c r="Z312" s="172"/>
      <c r="AA312" s="172"/>
      <c r="AB312" s="172"/>
      <c r="AC312" s="172"/>
      <c r="AD312" s="172"/>
      <c r="AE312" s="172"/>
      <c r="AF312" s="172"/>
      <c r="AG312" s="172"/>
      <c r="AH312" s="172"/>
      <c r="AI312" s="172"/>
      <c r="AJ312" s="172"/>
      <c r="AK312" s="172"/>
      <c r="AL312" s="172"/>
      <c r="AM312" s="172"/>
      <c r="AN312" s="172"/>
      <c r="AO312" s="172"/>
      <c r="AP312" s="172"/>
      <c r="AQ312" s="172"/>
      <c r="AR312" s="172"/>
      <c r="AS312" s="172"/>
    </row>
    <row r="313" spans="11:45" ht="13.5" customHeight="1">
      <c r="K313" s="49"/>
      <c r="L313" s="49"/>
      <c r="M313" s="49"/>
      <c r="N313" s="49"/>
      <c r="O313" s="49"/>
      <c r="P313" s="49"/>
      <c r="Q313" s="49"/>
      <c r="T313" s="172"/>
      <c r="V313" s="273"/>
      <c r="W313" s="172"/>
      <c r="X313" s="172"/>
      <c r="Y313" s="172"/>
      <c r="Z313" s="172"/>
      <c r="AA313" s="172"/>
      <c r="AB313" s="172"/>
      <c r="AC313" s="172"/>
      <c r="AD313" s="172"/>
      <c r="AE313" s="172"/>
      <c r="AF313" s="172"/>
      <c r="AG313" s="172"/>
      <c r="AH313" s="172"/>
      <c r="AI313" s="172"/>
      <c r="AJ313" s="172"/>
      <c r="AK313" s="172"/>
      <c r="AL313" s="172"/>
      <c r="AM313" s="172"/>
      <c r="AN313" s="172"/>
      <c r="AO313" s="172"/>
      <c r="AP313" s="172"/>
      <c r="AQ313" s="172"/>
      <c r="AR313" s="172"/>
      <c r="AS313" s="172"/>
    </row>
    <row r="314" spans="11:45" ht="13.5" customHeight="1">
      <c r="K314" s="49"/>
      <c r="L314" s="49"/>
      <c r="M314" s="49"/>
      <c r="N314" s="49"/>
      <c r="O314" s="49"/>
      <c r="P314" s="49"/>
      <c r="Q314" s="49"/>
      <c r="T314" s="172"/>
      <c r="V314" s="273"/>
      <c r="W314" s="172"/>
      <c r="X314" s="172"/>
      <c r="Y314" s="172"/>
      <c r="Z314" s="172"/>
      <c r="AA314" s="172"/>
      <c r="AB314" s="172"/>
      <c r="AC314" s="172"/>
      <c r="AD314" s="172"/>
      <c r="AE314" s="172"/>
      <c r="AF314" s="172"/>
      <c r="AG314" s="172"/>
      <c r="AH314" s="172"/>
      <c r="AI314" s="172"/>
      <c r="AJ314" s="172"/>
      <c r="AK314" s="172"/>
      <c r="AL314" s="172"/>
      <c r="AM314" s="172"/>
      <c r="AN314" s="172"/>
      <c r="AO314" s="172"/>
      <c r="AP314" s="172"/>
      <c r="AQ314" s="172"/>
      <c r="AR314" s="172"/>
      <c r="AS314" s="172"/>
    </row>
    <row r="315" spans="11:45" ht="13.5" customHeight="1">
      <c r="K315" s="49"/>
      <c r="L315" s="49"/>
      <c r="M315" s="49"/>
      <c r="N315" s="49"/>
      <c r="O315" s="49"/>
      <c r="P315" s="49"/>
      <c r="Q315" s="49"/>
      <c r="T315" s="172"/>
      <c r="V315" s="273"/>
      <c r="W315" s="172"/>
      <c r="X315" s="172"/>
      <c r="Y315" s="172"/>
      <c r="Z315" s="172"/>
      <c r="AA315" s="172"/>
      <c r="AB315" s="172"/>
      <c r="AC315" s="172"/>
      <c r="AD315" s="172"/>
      <c r="AE315" s="172"/>
      <c r="AF315" s="172"/>
      <c r="AG315" s="172"/>
      <c r="AH315" s="172"/>
      <c r="AI315" s="172"/>
      <c r="AJ315" s="172"/>
      <c r="AK315" s="172"/>
      <c r="AL315" s="172"/>
      <c r="AM315" s="172"/>
      <c r="AN315" s="172"/>
      <c r="AO315" s="172"/>
      <c r="AP315" s="172"/>
      <c r="AQ315" s="172"/>
      <c r="AR315" s="172"/>
      <c r="AS315" s="172"/>
    </row>
    <row r="316" spans="11:45" ht="13.5" customHeight="1">
      <c r="K316" s="49"/>
      <c r="L316" s="49"/>
      <c r="M316" s="49"/>
      <c r="N316" s="49"/>
      <c r="O316" s="49"/>
      <c r="P316" s="49"/>
      <c r="Q316" s="49"/>
      <c r="T316" s="172"/>
      <c r="V316" s="273"/>
      <c r="W316" s="172"/>
      <c r="X316" s="172"/>
      <c r="Y316" s="172"/>
      <c r="Z316" s="172"/>
      <c r="AA316" s="172"/>
      <c r="AB316" s="172"/>
      <c r="AC316" s="172"/>
      <c r="AD316" s="172"/>
      <c r="AE316" s="172"/>
      <c r="AF316" s="172"/>
      <c r="AG316" s="172"/>
      <c r="AH316" s="172"/>
      <c r="AI316" s="172"/>
      <c r="AJ316" s="172"/>
      <c r="AK316" s="172"/>
      <c r="AL316" s="172"/>
      <c r="AM316" s="172"/>
      <c r="AN316" s="172"/>
      <c r="AO316" s="172"/>
      <c r="AP316" s="172"/>
      <c r="AQ316" s="172"/>
      <c r="AR316" s="172"/>
      <c r="AS316" s="172"/>
    </row>
    <row r="317" spans="11:45" ht="13.5" customHeight="1">
      <c r="K317" s="49"/>
      <c r="L317" s="49"/>
      <c r="M317" s="49"/>
      <c r="N317" s="49"/>
      <c r="O317" s="49"/>
      <c r="P317" s="49"/>
      <c r="Q317" s="49"/>
      <c r="T317" s="172"/>
      <c r="V317" s="273"/>
      <c r="W317" s="172"/>
      <c r="X317" s="172"/>
      <c r="Y317" s="172"/>
      <c r="Z317" s="172"/>
      <c r="AA317" s="172"/>
      <c r="AB317" s="172"/>
      <c r="AC317" s="172"/>
      <c r="AD317" s="172"/>
      <c r="AE317" s="172"/>
      <c r="AF317" s="172"/>
      <c r="AG317" s="172"/>
      <c r="AH317" s="172"/>
      <c r="AI317" s="172"/>
      <c r="AJ317" s="172"/>
      <c r="AK317" s="172"/>
      <c r="AL317" s="172"/>
      <c r="AM317" s="172"/>
      <c r="AN317" s="172"/>
      <c r="AO317" s="172"/>
      <c r="AP317" s="172"/>
      <c r="AQ317" s="172"/>
      <c r="AR317" s="172"/>
      <c r="AS317" s="172"/>
    </row>
    <row r="318" spans="11:45" ht="13.5" customHeight="1">
      <c r="K318" s="49"/>
      <c r="L318" s="49"/>
      <c r="M318" s="49"/>
      <c r="N318" s="49"/>
      <c r="O318" s="49"/>
      <c r="P318" s="49"/>
      <c r="Q318" s="49"/>
      <c r="T318" s="172"/>
      <c r="V318" s="273"/>
      <c r="W318" s="172"/>
      <c r="X318" s="172"/>
      <c r="Y318" s="172"/>
      <c r="Z318" s="172"/>
      <c r="AA318" s="172"/>
      <c r="AB318" s="172"/>
      <c r="AC318" s="172"/>
      <c r="AD318" s="172"/>
      <c r="AE318" s="172"/>
      <c r="AF318" s="172"/>
      <c r="AG318" s="172"/>
      <c r="AH318" s="172"/>
      <c r="AI318" s="172"/>
      <c r="AJ318" s="172"/>
      <c r="AK318" s="172"/>
      <c r="AL318" s="172"/>
      <c r="AM318" s="172"/>
      <c r="AN318" s="172"/>
      <c r="AO318" s="172"/>
      <c r="AP318" s="172"/>
      <c r="AQ318" s="172"/>
      <c r="AR318" s="172"/>
      <c r="AS318" s="172"/>
    </row>
    <row r="319" spans="11:45" ht="13.5" customHeight="1">
      <c r="K319" s="49"/>
      <c r="L319" s="49"/>
      <c r="M319" s="49"/>
      <c r="N319" s="49"/>
      <c r="O319" s="49"/>
      <c r="P319" s="49"/>
      <c r="Q319" s="49"/>
      <c r="T319" s="172"/>
      <c r="V319" s="273"/>
      <c r="W319" s="172"/>
      <c r="X319" s="172"/>
      <c r="Y319" s="172"/>
      <c r="Z319" s="172"/>
      <c r="AA319" s="172"/>
      <c r="AB319" s="172"/>
      <c r="AC319" s="172"/>
      <c r="AD319" s="172"/>
      <c r="AE319" s="172"/>
      <c r="AF319" s="172"/>
      <c r="AG319" s="172"/>
      <c r="AH319" s="172"/>
      <c r="AI319" s="172"/>
      <c r="AJ319" s="172"/>
      <c r="AK319" s="172"/>
      <c r="AL319" s="172"/>
      <c r="AM319" s="172"/>
      <c r="AN319" s="172"/>
      <c r="AO319" s="172"/>
      <c r="AP319" s="172"/>
      <c r="AQ319" s="172"/>
      <c r="AR319" s="172"/>
      <c r="AS319" s="172"/>
    </row>
    <row r="320" spans="11:45" ht="13.5" customHeight="1">
      <c r="K320" s="49"/>
      <c r="L320" s="49"/>
      <c r="M320" s="49"/>
      <c r="N320" s="49"/>
      <c r="O320" s="49"/>
      <c r="P320" s="49"/>
      <c r="Q320" s="49"/>
      <c r="T320" s="172"/>
      <c r="V320" s="273"/>
      <c r="W320" s="172"/>
      <c r="X320" s="172"/>
      <c r="Y320" s="172"/>
      <c r="Z320" s="172"/>
      <c r="AA320" s="172"/>
      <c r="AB320" s="172"/>
      <c r="AC320" s="172"/>
      <c r="AD320" s="172"/>
      <c r="AE320" s="172"/>
      <c r="AF320" s="172"/>
      <c r="AG320" s="172"/>
      <c r="AH320" s="172"/>
      <c r="AI320" s="172"/>
      <c r="AJ320" s="172"/>
      <c r="AK320" s="172"/>
      <c r="AL320" s="172"/>
      <c r="AM320" s="172"/>
      <c r="AN320" s="172"/>
      <c r="AO320" s="172"/>
      <c r="AP320" s="172"/>
      <c r="AQ320" s="172"/>
      <c r="AR320" s="172"/>
      <c r="AS320" s="172"/>
    </row>
    <row r="321" spans="11:45" ht="13.5" customHeight="1">
      <c r="K321" s="49"/>
      <c r="L321" s="49"/>
      <c r="M321" s="49"/>
      <c r="N321" s="49"/>
      <c r="O321" s="49"/>
      <c r="P321" s="49"/>
      <c r="Q321" s="49"/>
      <c r="T321" s="172"/>
      <c r="V321" s="273"/>
      <c r="W321" s="172"/>
      <c r="X321" s="172"/>
      <c r="Y321" s="172"/>
      <c r="Z321" s="172"/>
      <c r="AA321" s="172"/>
      <c r="AB321" s="172"/>
      <c r="AC321" s="172"/>
      <c r="AD321" s="172"/>
      <c r="AE321" s="172"/>
      <c r="AF321" s="172"/>
      <c r="AG321" s="172"/>
      <c r="AH321" s="172"/>
      <c r="AI321" s="172"/>
      <c r="AJ321" s="172"/>
      <c r="AK321" s="172"/>
      <c r="AL321" s="172"/>
      <c r="AM321" s="172"/>
      <c r="AN321" s="172"/>
      <c r="AO321" s="172"/>
      <c r="AP321" s="172"/>
      <c r="AQ321" s="172"/>
      <c r="AR321" s="172"/>
      <c r="AS321" s="172"/>
    </row>
    <row r="322" spans="11:45" ht="13.5" customHeight="1">
      <c r="K322" s="49"/>
      <c r="L322" s="49"/>
      <c r="M322" s="49"/>
      <c r="N322" s="49"/>
      <c r="O322" s="49"/>
      <c r="P322" s="49"/>
      <c r="Q322" s="49"/>
      <c r="T322" s="172"/>
      <c r="V322" s="273"/>
      <c r="W322" s="172"/>
      <c r="X322" s="172"/>
      <c r="Y322" s="172"/>
      <c r="Z322" s="172"/>
      <c r="AA322" s="172"/>
      <c r="AB322" s="172"/>
      <c r="AC322" s="172"/>
      <c r="AD322" s="172"/>
      <c r="AE322" s="172"/>
      <c r="AF322" s="172"/>
      <c r="AG322" s="172"/>
      <c r="AH322" s="172"/>
      <c r="AI322" s="172"/>
      <c r="AJ322" s="172"/>
      <c r="AK322" s="172"/>
      <c r="AL322" s="172"/>
      <c r="AM322" s="172"/>
      <c r="AN322" s="172"/>
      <c r="AO322" s="172"/>
      <c r="AP322" s="172"/>
      <c r="AQ322" s="172"/>
      <c r="AR322" s="172"/>
      <c r="AS322" s="172"/>
    </row>
    <row r="323" spans="11:45" ht="13.5" customHeight="1">
      <c r="K323" s="49"/>
      <c r="L323" s="49"/>
      <c r="M323" s="49"/>
      <c r="N323" s="49"/>
      <c r="O323" s="49"/>
      <c r="P323" s="49"/>
      <c r="Q323" s="49"/>
      <c r="T323" s="172"/>
      <c r="V323" s="273"/>
      <c r="W323" s="172"/>
      <c r="X323" s="172"/>
      <c r="Y323" s="172"/>
      <c r="Z323" s="172"/>
      <c r="AA323" s="172"/>
      <c r="AB323" s="172"/>
      <c r="AC323" s="172"/>
      <c r="AD323" s="172"/>
      <c r="AE323" s="172"/>
      <c r="AF323" s="172"/>
      <c r="AG323" s="172"/>
      <c r="AH323" s="172"/>
      <c r="AI323" s="172"/>
      <c r="AJ323" s="172"/>
      <c r="AK323" s="172"/>
      <c r="AL323" s="172"/>
      <c r="AM323" s="172"/>
      <c r="AN323" s="172"/>
      <c r="AO323" s="172"/>
      <c r="AP323" s="172"/>
      <c r="AQ323" s="172"/>
      <c r="AR323" s="172"/>
      <c r="AS323" s="172"/>
    </row>
    <row r="324" spans="11:45" ht="13.5" customHeight="1">
      <c r="K324" s="49"/>
      <c r="L324" s="49"/>
      <c r="M324" s="49"/>
      <c r="N324" s="49"/>
      <c r="O324" s="49"/>
      <c r="P324" s="49"/>
      <c r="Q324" s="49"/>
      <c r="T324" s="172"/>
      <c r="V324" s="273"/>
      <c r="W324" s="172"/>
      <c r="X324" s="172"/>
      <c r="Y324" s="172"/>
      <c r="Z324" s="172"/>
      <c r="AA324" s="172"/>
      <c r="AB324" s="172"/>
      <c r="AC324" s="172"/>
      <c r="AD324" s="172"/>
      <c r="AE324" s="172"/>
      <c r="AF324" s="172"/>
      <c r="AG324" s="172"/>
      <c r="AH324" s="172"/>
      <c r="AI324" s="172"/>
      <c r="AJ324" s="172"/>
      <c r="AK324" s="172"/>
      <c r="AL324" s="172"/>
      <c r="AM324" s="172"/>
      <c r="AN324" s="172"/>
      <c r="AO324" s="172"/>
      <c r="AP324" s="172"/>
      <c r="AQ324" s="172"/>
      <c r="AR324" s="172"/>
      <c r="AS324" s="172"/>
    </row>
    <row r="325" spans="11:45" ht="13.5" customHeight="1">
      <c r="K325" s="49"/>
      <c r="L325" s="49"/>
      <c r="M325" s="49"/>
      <c r="N325" s="49"/>
      <c r="O325" s="49"/>
      <c r="P325" s="49"/>
      <c r="Q325" s="49"/>
      <c r="T325" s="172"/>
      <c r="V325" s="273"/>
      <c r="W325" s="172"/>
      <c r="X325" s="172"/>
      <c r="Y325" s="172"/>
      <c r="Z325" s="172"/>
      <c r="AA325" s="172"/>
      <c r="AB325" s="172"/>
      <c r="AC325" s="172"/>
      <c r="AD325" s="172"/>
      <c r="AE325" s="172"/>
      <c r="AF325" s="172"/>
      <c r="AG325" s="172"/>
      <c r="AH325" s="172"/>
      <c r="AI325" s="172"/>
      <c r="AJ325" s="172"/>
      <c r="AK325" s="172"/>
      <c r="AL325" s="172"/>
      <c r="AM325" s="172"/>
      <c r="AN325" s="172"/>
      <c r="AO325" s="172"/>
      <c r="AP325" s="172"/>
      <c r="AQ325" s="172"/>
      <c r="AR325" s="172"/>
      <c r="AS325" s="172"/>
    </row>
    <row r="326" spans="11:45" ht="13.5" customHeight="1">
      <c r="K326" s="49"/>
      <c r="L326" s="49"/>
      <c r="M326" s="49"/>
      <c r="N326" s="49"/>
      <c r="O326" s="49"/>
      <c r="P326" s="49"/>
      <c r="Q326" s="49"/>
      <c r="T326" s="172"/>
      <c r="V326" s="273"/>
      <c r="W326" s="172"/>
      <c r="X326" s="172"/>
      <c r="Y326" s="172"/>
      <c r="Z326" s="172"/>
      <c r="AA326" s="172"/>
      <c r="AB326" s="172"/>
      <c r="AC326" s="172"/>
      <c r="AD326" s="172"/>
      <c r="AE326" s="172"/>
      <c r="AF326" s="172"/>
      <c r="AG326" s="172"/>
      <c r="AH326" s="172"/>
      <c r="AI326" s="172"/>
      <c r="AJ326" s="172"/>
      <c r="AK326" s="172"/>
      <c r="AL326" s="172"/>
      <c r="AM326" s="172"/>
      <c r="AN326" s="172"/>
      <c r="AO326" s="172"/>
      <c r="AP326" s="172"/>
      <c r="AQ326" s="172"/>
      <c r="AR326" s="172"/>
      <c r="AS326" s="172"/>
    </row>
    <row r="327" spans="11:45" ht="13.5" customHeight="1">
      <c r="K327" s="49"/>
      <c r="L327" s="49"/>
      <c r="M327" s="49"/>
      <c r="N327" s="49"/>
      <c r="O327" s="49"/>
      <c r="P327" s="49"/>
      <c r="Q327" s="49"/>
      <c r="T327" s="172"/>
      <c r="V327" s="273"/>
      <c r="W327" s="172"/>
      <c r="X327" s="172"/>
      <c r="Y327" s="172"/>
      <c r="Z327" s="172"/>
      <c r="AA327" s="172"/>
      <c r="AB327" s="172"/>
      <c r="AC327" s="172"/>
      <c r="AD327" s="172"/>
      <c r="AE327" s="172"/>
      <c r="AF327" s="172"/>
      <c r="AG327" s="172"/>
      <c r="AH327" s="172"/>
      <c r="AI327" s="172"/>
      <c r="AJ327" s="172"/>
      <c r="AK327" s="172"/>
      <c r="AL327" s="172"/>
      <c r="AM327" s="172"/>
      <c r="AN327" s="172"/>
      <c r="AO327" s="172"/>
      <c r="AP327" s="172"/>
      <c r="AQ327" s="172"/>
      <c r="AR327" s="172"/>
      <c r="AS327" s="172"/>
    </row>
    <row r="328" spans="11:45" ht="13.5" customHeight="1">
      <c r="K328" s="49"/>
      <c r="L328" s="49"/>
      <c r="M328" s="49"/>
      <c r="N328" s="49"/>
      <c r="O328" s="49"/>
      <c r="P328" s="49"/>
      <c r="Q328" s="49"/>
      <c r="T328" s="172"/>
      <c r="V328" s="273"/>
      <c r="W328" s="172"/>
      <c r="X328" s="172"/>
      <c r="Y328" s="172"/>
      <c r="Z328" s="172"/>
      <c r="AA328" s="172"/>
      <c r="AB328" s="172"/>
      <c r="AC328" s="172"/>
      <c r="AD328" s="172"/>
      <c r="AE328" s="172"/>
      <c r="AF328" s="172"/>
      <c r="AG328" s="172"/>
      <c r="AH328" s="172"/>
      <c r="AI328" s="172"/>
      <c r="AJ328" s="172"/>
      <c r="AK328" s="172"/>
      <c r="AL328" s="172"/>
      <c r="AM328" s="172"/>
      <c r="AN328" s="172"/>
      <c r="AO328" s="172"/>
      <c r="AP328" s="172"/>
      <c r="AQ328" s="172"/>
      <c r="AR328" s="172"/>
      <c r="AS328" s="172"/>
    </row>
    <row r="329" spans="11:45" ht="13.5" customHeight="1">
      <c r="K329" s="49"/>
      <c r="L329" s="49"/>
      <c r="M329" s="49"/>
      <c r="N329" s="49"/>
      <c r="O329" s="49"/>
      <c r="P329" s="49"/>
      <c r="Q329" s="49"/>
      <c r="T329" s="172"/>
      <c r="V329" s="273"/>
      <c r="W329" s="172"/>
      <c r="X329" s="172"/>
      <c r="Y329" s="172"/>
      <c r="Z329" s="172"/>
      <c r="AA329" s="172"/>
      <c r="AB329" s="172"/>
      <c r="AC329" s="172"/>
      <c r="AD329" s="172"/>
      <c r="AE329" s="172"/>
      <c r="AF329" s="172"/>
      <c r="AG329" s="172"/>
      <c r="AH329" s="172"/>
      <c r="AI329" s="172"/>
      <c r="AJ329" s="172"/>
      <c r="AK329" s="172"/>
      <c r="AL329" s="172"/>
      <c r="AM329" s="172"/>
      <c r="AN329" s="172"/>
      <c r="AO329" s="172"/>
      <c r="AP329" s="172"/>
      <c r="AQ329" s="172"/>
      <c r="AR329" s="172"/>
      <c r="AS329" s="172"/>
    </row>
    <row r="330" spans="11:45" ht="13.5" customHeight="1">
      <c r="K330" s="49"/>
      <c r="L330" s="49"/>
      <c r="M330" s="49"/>
      <c r="N330" s="49"/>
      <c r="O330" s="49"/>
      <c r="P330" s="49"/>
      <c r="Q330" s="49"/>
      <c r="T330" s="172"/>
      <c r="V330" s="273"/>
      <c r="W330" s="172"/>
      <c r="X330" s="172"/>
      <c r="Y330" s="172"/>
      <c r="Z330" s="172"/>
      <c r="AA330" s="172"/>
      <c r="AB330" s="172"/>
      <c r="AC330" s="172"/>
      <c r="AD330" s="172"/>
      <c r="AE330" s="172"/>
      <c r="AF330" s="172"/>
      <c r="AG330" s="172"/>
      <c r="AH330" s="172"/>
      <c r="AI330" s="172"/>
      <c r="AJ330" s="172"/>
      <c r="AK330" s="172"/>
      <c r="AL330" s="172"/>
      <c r="AM330" s="172"/>
      <c r="AN330" s="172"/>
      <c r="AO330" s="172"/>
      <c r="AP330" s="172"/>
      <c r="AQ330" s="172"/>
      <c r="AR330" s="172"/>
      <c r="AS330" s="172"/>
    </row>
    <row r="331" spans="11:45" ht="13.5" customHeight="1">
      <c r="K331" s="49"/>
      <c r="L331" s="49"/>
      <c r="M331" s="49"/>
      <c r="N331" s="49"/>
      <c r="O331" s="49"/>
      <c r="P331" s="49"/>
      <c r="Q331" s="49"/>
      <c r="T331" s="172"/>
      <c r="V331" s="273"/>
      <c r="W331" s="172"/>
      <c r="X331" s="172"/>
      <c r="Y331" s="172"/>
      <c r="Z331" s="172"/>
      <c r="AA331" s="172"/>
      <c r="AB331" s="172"/>
      <c r="AC331" s="172"/>
      <c r="AD331" s="172"/>
      <c r="AE331" s="172"/>
      <c r="AF331" s="172"/>
      <c r="AG331" s="172"/>
      <c r="AH331" s="172"/>
      <c r="AI331" s="172"/>
      <c r="AJ331" s="172"/>
      <c r="AK331" s="172"/>
      <c r="AL331" s="172"/>
      <c r="AM331" s="172"/>
      <c r="AN331" s="172"/>
      <c r="AO331" s="172"/>
      <c r="AP331" s="172"/>
      <c r="AQ331" s="172"/>
      <c r="AR331" s="172"/>
      <c r="AS331" s="172"/>
    </row>
    <row r="332" spans="11:45" ht="13.5" customHeight="1">
      <c r="K332" s="49"/>
      <c r="L332" s="49"/>
      <c r="M332" s="49"/>
      <c r="N332" s="49"/>
      <c r="O332" s="49"/>
      <c r="P332" s="49"/>
      <c r="Q332" s="49"/>
      <c r="T332" s="172"/>
      <c r="V332" s="273"/>
      <c r="W332" s="172"/>
      <c r="X332" s="172"/>
      <c r="Y332" s="172"/>
      <c r="Z332" s="172"/>
      <c r="AA332" s="172"/>
      <c r="AB332" s="172"/>
      <c r="AC332" s="172"/>
      <c r="AD332" s="172"/>
      <c r="AE332" s="172"/>
      <c r="AF332" s="172"/>
      <c r="AG332" s="172"/>
      <c r="AH332" s="172"/>
      <c r="AI332" s="172"/>
      <c r="AJ332" s="172"/>
      <c r="AK332" s="172"/>
      <c r="AL332" s="172"/>
      <c r="AM332" s="172"/>
      <c r="AN332" s="172"/>
      <c r="AO332" s="172"/>
      <c r="AP332" s="172"/>
      <c r="AQ332" s="172"/>
      <c r="AR332" s="172"/>
      <c r="AS332" s="172"/>
    </row>
    <row r="333" spans="11:45" ht="13.5" customHeight="1">
      <c r="K333" s="49"/>
      <c r="L333" s="49"/>
      <c r="M333" s="49"/>
      <c r="N333" s="49"/>
      <c r="O333" s="49"/>
      <c r="P333" s="49"/>
      <c r="Q333" s="49"/>
      <c r="T333" s="172"/>
      <c r="V333" s="273"/>
      <c r="W333" s="172"/>
      <c r="X333" s="172"/>
      <c r="Y333" s="172"/>
      <c r="Z333" s="172"/>
      <c r="AA333" s="172"/>
      <c r="AB333" s="172"/>
      <c r="AC333" s="172"/>
      <c r="AD333" s="172"/>
      <c r="AE333" s="172"/>
      <c r="AF333" s="172"/>
      <c r="AG333" s="172"/>
      <c r="AH333" s="172"/>
      <c r="AI333" s="172"/>
      <c r="AJ333" s="172"/>
      <c r="AK333" s="172"/>
      <c r="AL333" s="172"/>
      <c r="AM333" s="172"/>
      <c r="AN333" s="172"/>
      <c r="AO333" s="172"/>
      <c r="AP333" s="172"/>
      <c r="AQ333" s="172"/>
      <c r="AR333" s="172"/>
      <c r="AS333" s="172"/>
    </row>
    <row r="334" spans="11:45" ht="13.5" customHeight="1">
      <c r="K334" s="49"/>
      <c r="L334" s="49"/>
      <c r="M334" s="49"/>
      <c r="N334" s="49"/>
      <c r="O334" s="49"/>
      <c r="P334" s="49"/>
      <c r="Q334" s="49"/>
      <c r="T334" s="172"/>
      <c r="V334" s="273"/>
      <c r="W334" s="172"/>
      <c r="X334" s="172"/>
      <c r="Y334" s="172"/>
      <c r="Z334" s="172"/>
      <c r="AA334" s="172"/>
      <c r="AB334" s="172"/>
      <c r="AC334" s="172"/>
      <c r="AD334" s="172"/>
      <c r="AE334" s="172"/>
      <c r="AF334" s="172"/>
      <c r="AG334" s="172"/>
      <c r="AH334" s="172"/>
      <c r="AI334" s="172"/>
      <c r="AJ334" s="172"/>
      <c r="AK334" s="172"/>
      <c r="AL334" s="172"/>
      <c r="AM334" s="172"/>
      <c r="AN334" s="172"/>
      <c r="AO334" s="172"/>
      <c r="AP334" s="172"/>
      <c r="AQ334" s="172"/>
      <c r="AR334" s="172"/>
      <c r="AS334" s="172"/>
    </row>
    <row r="335" spans="11:45" ht="13.5" customHeight="1">
      <c r="K335" s="49"/>
      <c r="L335" s="49"/>
      <c r="M335" s="49"/>
      <c r="N335" s="49"/>
      <c r="O335" s="49"/>
      <c r="P335" s="49"/>
      <c r="Q335" s="49"/>
      <c r="T335" s="172"/>
      <c r="V335" s="273"/>
      <c r="W335" s="172"/>
      <c r="X335" s="172"/>
      <c r="Y335" s="172"/>
      <c r="Z335" s="172"/>
      <c r="AA335" s="172"/>
      <c r="AB335" s="172"/>
      <c r="AC335" s="172"/>
      <c r="AD335" s="172"/>
      <c r="AE335" s="172"/>
      <c r="AF335" s="172"/>
      <c r="AG335" s="172"/>
      <c r="AH335" s="172"/>
      <c r="AI335" s="172"/>
      <c r="AJ335" s="172"/>
      <c r="AK335" s="172"/>
      <c r="AL335" s="172"/>
      <c r="AM335" s="172"/>
      <c r="AN335" s="172"/>
      <c r="AO335" s="172"/>
      <c r="AP335" s="172"/>
      <c r="AQ335" s="172"/>
      <c r="AR335" s="172"/>
      <c r="AS335" s="172"/>
    </row>
    <row r="336" spans="11:45" ht="13.5" customHeight="1">
      <c r="K336" s="49"/>
      <c r="L336" s="49"/>
      <c r="M336" s="49"/>
      <c r="N336" s="49"/>
      <c r="O336" s="49"/>
      <c r="P336" s="49"/>
      <c r="Q336" s="49"/>
      <c r="T336" s="172"/>
      <c r="V336" s="273"/>
      <c r="W336" s="172"/>
      <c r="X336" s="172"/>
      <c r="Y336" s="172"/>
      <c r="Z336" s="172"/>
      <c r="AA336" s="172"/>
      <c r="AB336" s="172"/>
      <c r="AC336" s="172"/>
      <c r="AD336" s="172"/>
      <c r="AE336" s="172"/>
      <c r="AF336" s="172"/>
      <c r="AG336" s="172"/>
      <c r="AH336" s="172"/>
      <c r="AI336" s="172"/>
      <c r="AJ336" s="172"/>
      <c r="AK336" s="172"/>
      <c r="AL336" s="172"/>
      <c r="AM336" s="172"/>
      <c r="AN336" s="172"/>
      <c r="AO336" s="172"/>
      <c r="AP336" s="172"/>
      <c r="AQ336" s="172"/>
      <c r="AR336" s="172"/>
      <c r="AS336" s="172"/>
    </row>
    <row r="337" spans="11:45" ht="13.5" customHeight="1">
      <c r="K337" s="49"/>
      <c r="L337" s="49"/>
      <c r="M337" s="49"/>
      <c r="N337" s="49"/>
      <c r="O337" s="49"/>
      <c r="P337" s="49"/>
      <c r="Q337" s="49"/>
      <c r="T337" s="172"/>
      <c r="V337" s="273"/>
      <c r="W337" s="172"/>
      <c r="X337" s="172"/>
      <c r="Y337" s="172"/>
      <c r="Z337" s="172"/>
      <c r="AA337" s="172"/>
      <c r="AB337" s="172"/>
      <c r="AC337" s="172"/>
      <c r="AD337" s="172"/>
      <c r="AE337" s="172"/>
      <c r="AF337" s="172"/>
      <c r="AG337" s="172"/>
      <c r="AH337" s="172"/>
      <c r="AI337" s="172"/>
      <c r="AJ337" s="172"/>
      <c r="AK337" s="172"/>
      <c r="AL337" s="172"/>
      <c r="AM337" s="172"/>
      <c r="AN337" s="172"/>
      <c r="AO337" s="172"/>
      <c r="AP337" s="172"/>
      <c r="AQ337" s="172"/>
      <c r="AR337" s="172"/>
      <c r="AS337" s="172"/>
    </row>
    <row r="338" spans="11:45" ht="13.5" customHeight="1">
      <c r="K338" s="49"/>
      <c r="L338" s="49"/>
      <c r="M338" s="49"/>
      <c r="N338" s="49"/>
      <c r="O338" s="49"/>
      <c r="P338" s="49"/>
      <c r="Q338" s="49"/>
      <c r="T338" s="172"/>
      <c r="V338" s="273"/>
      <c r="W338" s="172"/>
      <c r="X338" s="172"/>
      <c r="Y338" s="172"/>
      <c r="Z338" s="172"/>
      <c r="AA338" s="172"/>
      <c r="AB338" s="172"/>
      <c r="AC338" s="172"/>
      <c r="AD338" s="172"/>
      <c r="AE338" s="172"/>
      <c r="AF338" s="172"/>
      <c r="AG338" s="172"/>
      <c r="AH338" s="172"/>
      <c r="AI338" s="172"/>
      <c r="AJ338" s="172"/>
      <c r="AK338" s="172"/>
      <c r="AL338" s="172"/>
      <c r="AM338" s="172"/>
      <c r="AN338" s="172"/>
      <c r="AO338" s="172"/>
      <c r="AP338" s="172"/>
      <c r="AQ338" s="172"/>
      <c r="AR338" s="172"/>
      <c r="AS338" s="172"/>
    </row>
    <row r="339" spans="11:45" ht="13.5" customHeight="1">
      <c r="K339" s="49"/>
      <c r="L339" s="49"/>
      <c r="M339" s="49"/>
      <c r="N339" s="49"/>
      <c r="O339" s="49"/>
      <c r="P339" s="49"/>
      <c r="Q339" s="49"/>
      <c r="T339" s="172"/>
      <c r="V339" s="273"/>
      <c r="W339" s="172"/>
      <c r="X339" s="172"/>
      <c r="Y339" s="172"/>
      <c r="Z339" s="172"/>
      <c r="AA339" s="172"/>
      <c r="AB339" s="172"/>
      <c r="AC339" s="172"/>
      <c r="AD339" s="172"/>
      <c r="AE339" s="172"/>
      <c r="AF339" s="172"/>
      <c r="AG339" s="172"/>
      <c r="AH339" s="172"/>
      <c r="AI339" s="172"/>
      <c r="AJ339" s="172"/>
      <c r="AK339" s="172"/>
      <c r="AL339" s="172"/>
      <c r="AM339" s="172"/>
      <c r="AN339" s="172"/>
      <c r="AO339" s="172"/>
      <c r="AP339" s="172"/>
      <c r="AQ339" s="172"/>
      <c r="AR339" s="172"/>
      <c r="AS339" s="172"/>
    </row>
    <row r="340" spans="11:45" ht="13.5" customHeight="1">
      <c r="K340" s="49"/>
      <c r="L340" s="49"/>
      <c r="M340" s="49"/>
      <c r="N340" s="49"/>
      <c r="O340" s="49"/>
      <c r="P340" s="49"/>
      <c r="Q340" s="49"/>
      <c r="T340" s="172"/>
      <c r="V340" s="273"/>
      <c r="W340" s="172"/>
      <c r="X340" s="172"/>
      <c r="Y340" s="172"/>
      <c r="Z340" s="172"/>
      <c r="AA340" s="172"/>
      <c r="AB340" s="172"/>
      <c r="AC340" s="172"/>
      <c r="AD340" s="172"/>
      <c r="AE340" s="172"/>
      <c r="AF340" s="172"/>
      <c r="AG340" s="172"/>
      <c r="AH340" s="172"/>
      <c r="AI340" s="172"/>
      <c r="AJ340" s="172"/>
      <c r="AK340" s="172"/>
      <c r="AL340" s="172"/>
      <c r="AM340" s="172"/>
      <c r="AN340" s="172"/>
      <c r="AO340" s="172"/>
      <c r="AP340" s="172"/>
      <c r="AQ340" s="172"/>
      <c r="AR340" s="172"/>
      <c r="AS340" s="172"/>
    </row>
    <row r="341" spans="11:45" ht="13.5" customHeight="1">
      <c r="K341" s="49"/>
      <c r="L341" s="49"/>
      <c r="M341" s="49"/>
      <c r="N341" s="49"/>
      <c r="O341" s="49"/>
      <c r="P341" s="49"/>
      <c r="Q341" s="49"/>
      <c r="T341" s="172"/>
      <c r="V341" s="273"/>
      <c r="W341" s="172"/>
      <c r="X341" s="172"/>
      <c r="Y341" s="172"/>
      <c r="Z341" s="172"/>
      <c r="AA341" s="172"/>
      <c r="AB341" s="172"/>
      <c r="AC341" s="172"/>
      <c r="AD341" s="172"/>
      <c r="AE341" s="172"/>
      <c r="AF341" s="172"/>
      <c r="AG341" s="172"/>
      <c r="AH341" s="172"/>
      <c r="AI341" s="172"/>
      <c r="AJ341" s="172"/>
      <c r="AK341" s="172"/>
      <c r="AL341" s="172"/>
      <c r="AM341" s="172"/>
      <c r="AN341" s="172"/>
      <c r="AO341" s="172"/>
      <c r="AP341" s="172"/>
      <c r="AQ341" s="172"/>
      <c r="AR341" s="172"/>
      <c r="AS341" s="172"/>
    </row>
    <row r="342" spans="11:45" ht="13.5" customHeight="1">
      <c r="K342" s="49"/>
      <c r="L342" s="49"/>
      <c r="M342" s="49"/>
      <c r="N342" s="49"/>
      <c r="O342" s="49"/>
      <c r="P342" s="49"/>
      <c r="Q342" s="49"/>
      <c r="T342" s="172"/>
      <c r="V342" s="273"/>
      <c r="W342" s="172"/>
      <c r="X342" s="172"/>
      <c r="Y342" s="172"/>
      <c r="Z342" s="172"/>
      <c r="AA342" s="172"/>
      <c r="AB342" s="172"/>
      <c r="AC342" s="172"/>
      <c r="AD342" s="172"/>
      <c r="AE342" s="172"/>
      <c r="AF342" s="172"/>
      <c r="AG342" s="172"/>
      <c r="AH342" s="172"/>
      <c r="AI342" s="172"/>
      <c r="AJ342" s="172"/>
      <c r="AK342" s="172"/>
      <c r="AL342" s="172"/>
      <c r="AM342" s="172"/>
      <c r="AN342" s="172"/>
      <c r="AO342" s="172"/>
      <c r="AP342" s="172"/>
      <c r="AQ342" s="172"/>
      <c r="AR342" s="172"/>
      <c r="AS342" s="172"/>
    </row>
    <row r="343" spans="11:45" ht="13.5" customHeight="1">
      <c r="K343" s="49"/>
      <c r="L343" s="49"/>
      <c r="M343" s="49"/>
      <c r="N343" s="49"/>
      <c r="O343" s="49"/>
      <c r="P343" s="49"/>
      <c r="Q343" s="49"/>
      <c r="T343" s="172"/>
      <c r="V343" s="273"/>
      <c r="W343" s="172"/>
      <c r="X343" s="172"/>
      <c r="Y343" s="172"/>
      <c r="Z343" s="172"/>
      <c r="AA343" s="172"/>
      <c r="AB343" s="172"/>
      <c r="AC343" s="172"/>
      <c r="AD343" s="172"/>
      <c r="AE343" s="172"/>
      <c r="AF343" s="172"/>
      <c r="AG343" s="172"/>
      <c r="AH343" s="172"/>
      <c r="AI343" s="172"/>
      <c r="AJ343" s="172"/>
      <c r="AK343" s="172"/>
      <c r="AL343" s="172"/>
      <c r="AM343" s="172"/>
      <c r="AN343" s="172"/>
      <c r="AO343" s="172"/>
      <c r="AP343" s="172"/>
      <c r="AQ343" s="172"/>
      <c r="AR343" s="172"/>
      <c r="AS343" s="172"/>
    </row>
    <row r="344" spans="11:45" ht="13.5" customHeight="1">
      <c r="K344" s="49"/>
      <c r="L344" s="49"/>
      <c r="M344" s="49"/>
      <c r="N344" s="49"/>
      <c r="O344" s="49"/>
      <c r="P344" s="49"/>
      <c r="Q344" s="49"/>
      <c r="T344" s="172"/>
      <c r="V344" s="273"/>
      <c r="W344" s="172"/>
      <c r="X344" s="172"/>
      <c r="Y344" s="172"/>
      <c r="Z344" s="172"/>
      <c r="AA344" s="172"/>
      <c r="AB344" s="172"/>
      <c r="AC344" s="172"/>
      <c r="AD344" s="172"/>
      <c r="AE344" s="172"/>
      <c r="AF344" s="172"/>
      <c r="AG344" s="172"/>
      <c r="AH344" s="172"/>
      <c r="AI344" s="172"/>
      <c r="AJ344" s="172"/>
      <c r="AK344" s="172"/>
      <c r="AL344" s="172"/>
      <c r="AM344" s="172"/>
      <c r="AN344" s="172"/>
      <c r="AO344" s="172"/>
      <c r="AP344" s="172"/>
      <c r="AQ344" s="172"/>
      <c r="AR344" s="172"/>
      <c r="AS344" s="172"/>
    </row>
    <row r="345" spans="11:45" ht="13.5" customHeight="1">
      <c r="K345" s="49"/>
      <c r="L345" s="49"/>
      <c r="M345" s="49"/>
      <c r="N345" s="49"/>
      <c r="O345" s="49"/>
      <c r="P345" s="49"/>
      <c r="Q345" s="49"/>
      <c r="T345" s="172"/>
      <c r="V345" s="273"/>
      <c r="W345" s="172"/>
      <c r="X345" s="172"/>
      <c r="Y345" s="172"/>
      <c r="Z345" s="172"/>
      <c r="AA345" s="172"/>
      <c r="AB345" s="172"/>
      <c r="AC345" s="172"/>
      <c r="AD345" s="172"/>
      <c r="AE345" s="172"/>
      <c r="AF345" s="172"/>
      <c r="AG345" s="172"/>
      <c r="AH345" s="172"/>
      <c r="AI345" s="172"/>
      <c r="AJ345" s="172"/>
      <c r="AK345" s="172"/>
      <c r="AL345" s="172"/>
      <c r="AM345" s="172"/>
      <c r="AN345" s="172"/>
      <c r="AO345" s="172"/>
      <c r="AP345" s="172"/>
      <c r="AQ345" s="172"/>
      <c r="AR345" s="172"/>
      <c r="AS345" s="172"/>
    </row>
    <row r="346" spans="11:45" ht="13.5" customHeight="1">
      <c r="K346" s="49"/>
      <c r="L346" s="49"/>
      <c r="M346" s="49"/>
      <c r="N346" s="49"/>
      <c r="O346" s="49"/>
      <c r="P346" s="49"/>
      <c r="Q346" s="49"/>
      <c r="T346" s="172"/>
      <c r="V346" s="273"/>
      <c r="W346" s="172"/>
      <c r="X346" s="172"/>
      <c r="Y346" s="172"/>
      <c r="Z346" s="172"/>
      <c r="AA346" s="172"/>
      <c r="AB346" s="172"/>
      <c r="AC346" s="172"/>
      <c r="AD346" s="172"/>
      <c r="AE346" s="172"/>
      <c r="AF346" s="172"/>
      <c r="AG346" s="172"/>
      <c r="AH346" s="172"/>
      <c r="AI346" s="172"/>
      <c r="AJ346" s="172"/>
      <c r="AK346" s="172"/>
      <c r="AL346" s="172"/>
      <c r="AM346" s="172"/>
      <c r="AN346" s="172"/>
      <c r="AO346" s="172"/>
      <c r="AP346" s="172"/>
      <c r="AQ346" s="172"/>
      <c r="AR346" s="172"/>
      <c r="AS346" s="172"/>
    </row>
    <row r="347" spans="11:45" ht="13.5" customHeight="1">
      <c r="K347" s="49"/>
      <c r="L347" s="49"/>
      <c r="M347" s="49"/>
      <c r="N347" s="49"/>
      <c r="O347" s="49"/>
      <c r="P347" s="49"/>
      <c r="Q347" s="49"/>
      <c r="T347" s="172"/>
      <c r="V347" s="273"/>
      <c r="W347" s="172"/>
      <c r="X347" s="172"/>
      <c r="Y347" s="172"/>
      <c r="Z347" s="172"/>
      <c r="AA347" s="172"/>
      <c r="AB347" s="172"/>
      <c r="AC347" s="172"/>
      <c r="AD347" s="172"/>
      <c r="AE347" s="172"/>
      <c r="AF347" s="172"/>
      <c r="AG347" s="172"/>
      <c r="AH347" s="172"/>
      <c r="AI347" s="172"/>
      <c r="AJ347" s="172"/>
      <c r="AK347" s="172"/>
      <c r="AL347" s="172"/>
      <c r="AM347" s="172"/>
      <c r="AN347" s="172"/>
      <c r="AO347" s="172"/>
      <c r="AP347" s="172"/>
      <c r="AQ347" s="172"/>
      <c r="AR347" s="172"/>
      <c r="AS347" s="172"/>
    </row>
    <row r="348" spans="11:45" ht="13.5" customHeight="1">
      <c r="K348" s="49"/>
      <c r="L348" s="49"/>
      <c r="M348" s="49"/>
      <c r="N348" s="49"/>
      <c r="O348" s="49"/>
      <c r="P348" s="49"/>
      <c r="Q348" s="49"/>
      <c r="T348" s="172"/>
      <c r="V348" s="273"/>
      <c r="W348" s="172"/>
      <c r="X348" s="172"/>
      <c r="Y348" s="172"/>
      <c r="Z348" s="172"/>
      <c r="AA348" s="172"/>
      <c r="AB348" s="172"/>
      <c r="AC348" s="172"/>
      <c r="AD348" s="172"/>
      <c r="AE348" s="172"/>
      <c r="AF348" s="172"/>
      <c r="AG348" s="172"/>
      <c r="AH348" s="172"/>
      <c r="AI348" s="172"/>
      <c r="AJ348" s="172"/>
      <c r="AK348" s="172"/>
      <c r="AL348" s="172"/>
      <c r="AM348" s="172"/>
      <c r="AN348" s="172"/>
      <c r="AO348" s="172"/>
      <c r="AP348" s="172"/>
      <c r="AQ348" s="172"/>
      <c r="AR348" s="172"/>
      <c r="AS348" s="172"/>
    </row>
    <row r="349" spans="11:45" ht="13.5" customHeight="1">
      <c r="K349" s="49"/>
      <c r="L349" s="49"/>
      <c r="M349" s="49"/>
      <c r="N349" s="49"/>
      <c r="O349" s="49"/>
      <c r="P349" s="49"/>
      <c r="Q349" s="49"/>
      <c r="T349" s="172"/>
      <c r="V349" s="273"/>
      <c r="W349" s="172"/>
      <c r="X349" s="172"/>
      <c r="Y349" s="172"/>
      <c r="Z349" s="172"/>
      <c r="AA349" s="172"/>
      <c r="AB349" s="172"/>
      <c r="AC349" s="172"/>
      <c r="AD349" s="172"/>
      <c r="AE349" s="172"/>
      <c r="AF349" s="172"/>
      <c r="AG349" s="172"/>
      <c r="AH349" s="172"/>
      <c r="AI349" s="172"/>
      <c r="AJ349" s="172"/>
      <c r="AK349" s="172"/>
      <c r="AL349" s="172"/>
      <c r="AM349" s="172"/>
      <c r="AN349" s="172"/>
      <c r="AO349" s="172"/>
      <c r="AP349" s="172"/>
      <c r="AQ349" s="172"/>
      <c r="AR349" s="172"/>
      <c r="AS349" s="172"/>
    </row>
    <row r="350" spans="11:45" ht="13.5" customHeight="1">
      <c r="K350" s="49"/>
      <c r="L350" s="49"/>
      <c r="M350" s="49"/>
      <c r="N350" s="49"/>
      <c r="O350" s="49"/>
      <c r="P350" s="49"/>
      <c r="Q350" s="49"/>
      <c r="T350" s="172"/>
      <c r="V350" s="273"/>
      <c r="W350" s="172"/>
      <c r="X350" s="172"/>
      <c r="Y350" s="172"/>
      <c r="Z350" s="172"/>
      <c r="AA350" s="172"/>
      <c r="AB350" s="172"/>
      <c r="AC350" s="172"/>
      <c r="AD350" s="172"/>
      <c r="AE350" s="172"/>
      <c r="AF350" s="172"/>
      <c r="AG350" s="172"/>
      <c r="AH350" s="172"/>
      <c r="AI350" s="172"/>
      <c r="AJ350" s="172"/>
      <c r="AK350" s="172"/>
      <c r="AL350" s="172"/>
      <c r="AM350" s="172"/>
      <c r="AN350" s="172"/>
      <c r="AO350" s="172"/>
      <c r="AP350" s="172"/>
      <c r="AQ350" s="172"/>
      <c r="AR350" s="172"/>
      <c r="AS350" s="172"/>
    </row>
    <row r="351" spans="11:45" ht="13.5" customHeight="1">
      <c r="K351" s="49"/>
      <c r="L351" s="49"/>
      <c r="M351" s="49"/>
      <c r="N351" s="49"/>
      <c r="O351" s="49"/>
      <c r="P351" s="49"/>
      <c r="Q351" s="49"/>
      <c r="T351" s="172"/>
      <c r="V351" s="273"/>
      <c r="W351" s="172"/>
      <c r="X351" s="172"/>
      <c r="Y351" s="172"/>
      <c r="Z351" s="172"/>
      <c r="AA351" s="172"/>
      <c r="AB351" s="172"/>
      <c r="AC351" s="172"/>
      <c r="AD351" s="172"/>
      <c r="AE351" s="172"/>
      <c r="AF351" s="172"/>
      <c r="AG351" s="172"/>
      <c r="AH351" s="172"/>
      <c r="AI351" s="172"/>
      <c r="AJ351" s="172"/>
      <c r="AK351" s="172"/>
      <c r="AL351" s="172"/>
      <c r="AM351" s="172"/>
      <c r="AN351" s="172"/>
      <c r="AO351" s="172"/>
      <c r="AP351" s="172"/>
      <c r="AQ351" s="172"/>
      <c r="AR351" s="172"/>
      <c r="AS351" s="172"/>
    </row>
    <row r="352" spans="11:45" ht="13.5" customHeight="1">
      <c r="K352" s="49"/>
      <c r="L352" s="49"/>
      <c r="M352" s="49"/>
      <c r="N352" s="49"/>
      <c r="O352" s="49"/>
      <c r="P352" s="49"/>
      <c r="Q352" s="49"/>
      <c r="T352" s="172"/>
      <c r="V352" s="273"/>
      <c r="W352" s="172"/>
      <c r="X352" s="172"/>
      <c r="Y352" s="172"/>
      <c r="Z352" s="172"/>
      <c r="AA352" s="172"/>
      <c r="AB352" s="172"/>
      <c r="AC352" s="172"/>
      <c r="AD352" s="172"/>
      <c r="AE352" s="172"/>
      <c r="AF352" s="172"/>
      <c r="AG352" s="172"/>
      <c r="AH352" s="172"/>
      <c r="AI352" s="172"/>
      <c r="AJ352" s="172"/>
      <c r="AK352" s="172"/>
      <c r="AL352" s="172"/>
      <c r="AM352" s="172"/>
      <c r="AN352" s="172"/>
      <c r="AO352" s="172"/>
      <c r="AP352" s="172"/>
      <c r="AQ352" s="172"/>
      <c r="AR352" s="172"/>
      <c r="AS352" s="172"/>
    </row>
    <row r="353" spans="11:45" ht="13.5" customHeight="1">
      <c r="K353" s="49"/>
      <c r="L353" s="49"/>
      <c r="M353" s="49"/>
      <c r="N353" s="49"/>
      <c r="O353" s="49"/>
      <c r="P353" s="49"/>
      <c r="Q353" s="49"/>
      <c r="T353" s="172"/>
      <c r="V353" s="273"/>
      <c r="W353" s="172"/>
      <c r="X353" s="172"/>
      <c r="Y353" s="172"/>
      <c r="Z353" s="172"/>
      <c r="AA353" s="172"/>
      <c r="AB353" s="172"/>
      <c r="AC353" s="172"/>
      <c r="AD353" s="172"/>
      <c r="AE353" s="172"/>
      <c r="AF353" s="172"/>
      <c r="AG353" s="172"/>
      <c r="AH353" s="172"/>
      <c r="AI353" s="172"/>
      <c r="AJ353" s="172"/>
      <c r="AK353" s="172"/>
      <c r="AL353" s="172"/>
      <c r="AM353" s="172"/>
      <c r="AN353" s="172"/>
      <c r="AO353" s="172"/>
      <c r="AP353" s="172"/>
      <c r="AQ353" s="172"/>
      <c r="AR353" s="172"/>
      <c r="AS353" s="172"/>
    </row>
    <row r="354" spans="11:45" ht="13.5" customHeight="1">
      <c r="K354" s="49"/>
      <c r="L354" s="49"/>
      <c r="M354" s="49"/>
      <c r="N354" s="49"/>
      <c r="O354" s="49"/>
      <c r="P354" s="49"/>
      <c r="Q354" s="49"/>
      <c r="T354" s="172"/>
      <c r="V354" s="273"/>
      <c r="W354" s="172"/>
      <c r="X354" s="172"/>
      <c r="Y354" s="172"/>
      <c r="Z354" s="172"/>
      <c r="AA354" s="172"/>
      <c r="AB354" s="172"/>
      <c r="AC354" s="172"/>
      <c r="AD354" s="172"/>
      <c r="AE354" s="172"/>
      <c r="AF354" s="172"/>
      <c r="AG354" s="172"/>
      <c r="AH354" s="172"/>
      <c r="AI354" s="172"/>
      <c r="AJ354" s="172"/>
      <c r="AK354" s="172"/>
      <c r="AL354" s="172"/>
      <c r="AM354" s="172"/>
      <c r="AN354" s="172"/>
      <c r="AO354" s="172"/>
      <c r="AP354" s="172"/>
      <c r="AQ354" s="172"/>
      <c r="AR354" s="172"/>
      <c r="AS354" s="172"/>
    </row>
    <row r="355" spans="11:45" ht="13.5" customHeight="1">
      <c r="K355" s="49"/>
      <c r="L355" s="49"/>
      <c r="M355" s="49"/>
      <c r="N355" s="49"/>
      <c r="O355" s="49"/>
      <c r="P355" s="49"/>
      <c r="Q355" s="49"/>
      <c r="T355" s="172"/>
      <c r="V355" s="273"/>
      <c r="W355" s="172"/>
      <c r="X355" s="172"/>
      <c r="Y355" s="172"/>
      <c r="Z355" s="172"/>
      <c r="AA355" s="172"/>
      <c r="AB355" s="172"/>
      <c r="AC355" s="172"/>
      <c r="AD355" s="172"/>
      <c r="AE355" s="172"/>
      <c r="AF355" s="172"/>
      <c r="AG355" s="172"/>
      <c r="AH355" s="172"/>
      <c r="AI355" s="172"/>
      <c r="AJ355" s="172"/>
      <c r="AK355" s="172"/>
      <c r="AL355" s="172"/>
      <c r="AM355" s="172"/>
      <c r="AN355" s="172"/>
      <c r="AO355" s="172"/>
      <c r="AP355" s="172"/>
      <c r="AQ355" s="172"/>
      <c r="AR355" s="172"/>
      <c r="AS355" s="172"/>
    </row>
    <row r="356" spans="11:45" ht="13.5" customHeight="1">
      <c r="K356" s="49"/>
      <c r="L356" s="49"/>
      <c r="M356" s="49"/>
      <c r="N356" s="49"/>
      <c r="O356" s="49"/>
      <c r="P356" s="49"/>
      <c r="Q356" s="49"/>
      <c r="T356" s="172"/>
      <c r="V356" s="273"/>
      <c r="W356" s="172"/>
      <c r="X356" s="172"/>
      <c r="Y356" s="172"/>
      <c r="Z356" s="172"/>
      <c r="AA356" s="172"/>
      <c r="AB356" s="172"/>
      <c r="AC356" s="172"/>
      <c r="AD356" s="172"/>
      <c r="AE356" s="172"/>
      <c r="AF356" s="172"/>
      <c r="AG356" s="172"/>
      <c r="AH356" s="172"/>
      <c r="AI356" s="172"/>
      <c r="AJ356" s="172"/>
      <c r="AK356" s="172"/>
      <c r="AL356" s="172"/>
      <c r="AM356" s="172"/>
      <c r="AN356" s="172"/>
      <c r="AO356" s="172"/>
      <c r="AP356" s="172"/>
      <c r="AQ356" s="172"/>
      <c r="AR356" s="172"/>
      <c r="AS356" s="172"/>
    </row>
    <row r="357" spans="11:45" ht="13.5" customHeight="1">
      <c r="K357" s="49"/>
      <c r="L357" s="49"/>
      <c r="M357" s="49"/>
      <c r="N357" s="49"/>
      <c r="O357" s="49"/>
      <c r="P357" s="49"/>
      <c r="Q357" s="49"/>
      <c r="T357" s="172"/>
      <c r="V357" s="273"/>
      <c r="W357" s="172"/>
      <c r="X357" s="172"/>
      <c r="Y357" s="172"/>
      <c r="Z357" s="172"/>
      <c r="AA357" s="172"/>
      <c r="AB357" s="172"/>
      <c r="AC357" s="172"/>
      <c r="AD357" s="172"/>
      <c r="AE357" s="172"/>
      <c r="AF357" s="172"/>
      <c r="AG357" s="172"/>
      <c r="AH357" s="172"/>
      <c r="AI357" s="172"/>
      <c r="AJ357" s="172"/>
      <c r="AK357" s="172"/>
      <c r="AL357" s="172"/>
      <c r="AM357" s="172"/>
      <c r="AN357" s="172"/>
      <c r="AO357" s="172"/>
      <c r="AP357" s="172"/>
      <c r="AQ357" s="172"/>
      <c r="AR357" s="172"/>
      <c r="AS357" s="172"/>
    </row>
    <row r="358" spans="11:45" ht="13.5" customHeight="1">
      <c r="K358" s="49"/>
      <c r="L358" s="49"/>
      <c r="M358" s="49"/>
      <c r="N358" s="49"/>
      <c r="O358" s="49"/>
      <c r="P358" s="49"/>
      <c r="Q358" s="49"/>
      <c r="T358" s="172"/>
      <c r="V358" s="273"/>
      <c r="W358" s="172"/>
      <c r="X358" s="172"/>
      <c r="Y358" s="172"/>
      <c r="Z358" s="172"/>
      <c r="AA358" s="172"/>
      <c r="AB358" s="172"/>
      <c r="AC358" s="172"/>
      <c r="AD358" s="172"/>
      <c r="AE358" s="172"/>
      <c r="AF358" s="172"/>
      <c r="AG358" s="172"/>
      <c r="AH358" s="172"/>
      <c r="AI358" s="172"/>
      <c r="AJ358" s="172"/>
      <c r="AK358" s="172"/>
      <c r="AL358" s="172"/>
      <c r="AM358" s="172"/>
      <c r="AN358" s="172"/>
      <c r="AO358" s="172"/>
      <c r="AP358" s="172"/>
      <c r="AQ358" s="172"/>
      <c r="AR358" s="172"/>
      <c r="AS358" s="172"/>
    </row>
    <row r="359" spans="11:45" ht="13.5" customHeight="1">
      <c r="K359" s="49"/>
      <c r="L359" s="49"/>
      <c r="M359" s="49"/>
      <c r="N359" s="49"/>
      <c r="O359" s="49"/>
      <c r="P359" s="49"/>
      <c r="Q359" s="49"/>
      <c r="T359" s="172"/>
      <c r="V359" s="273"/>
      <c r="W359" s="172"/>
      <c r="X359" s="172"/>
      <c r="Y359" s="172"/>
      <c r="Z359" s="172"/>
      <c r="AA359" s="172"/>
      <c r="AB359" s="172"/>
      <c r="AC359" s="172"/>
      <c r="AD359" s="172"/>
      <c r="AE359" s="172"/>
      <c r="AF359" s="172"/>
      <c r="AG359" s="172"/>
      <c r="AH359" s="172"/>
      <c r="AI359" s="172"/>
      <c r="AJ359" s="172"/>
      <c r="AK359" s="172"/>
      <c r="AL359" s="172"/>
      <c r="AM359" s="172"/>
      <c r="AN359" s="172"/>
      <c r="AO359" s="172"/>
      <c r="AP359" s="172"/>
      <c r="AQ359" s="172"/>
      <c r="AR359" s="172"/>
      <c r="AS359" s="172"/>
    </row>
    <row r="360" spans="11:45" ht="13.5" customHeight="1">
      <c r="K360" s="49"/>
      <c r="L360" s="49"/>
      <c r="M360" s="49"/>
      <c r="N360" s="49"/>
      <c r="O360" s="49"/>
      <c r="P360" s="49"/>
      <c r="Q360" s="49"/>
      <c r="T360" s="172"/>
      <c r="V360" s="273"/>
      <c r="W360" s="172"/>
      <c r="X360" s="172"/>
      <c r="Y360" s="172"/>
      <c r="Z360" s="172"/>
      <c r="AA360" s="172"/>
      <c r="AB360" s="172"/>
      <c r="AC360" s="172"/>
      <c r="AD360" s="172"/>
      <c r="AE360" s="172"/>
      <c r="AF360" s="172"/>
      <c r="AG360" s="172"/>
      <c r="AH360" s="172"/>
      <c r="AI360" s="172"/>
      <c r="AJ360" s="172"/>
      <c r="AK360" s="172"/>
      <c r="AL360" s="172"/>
      <c r="AM360" s="172"/>
      <c r="AN360" s="172"/>
      <c r="AO360" s="172"/>
      <c r="AP360" s="172"/>
      <c r="AQ360" s="172"/>
      <c r="AR360" s="172"/>
      <c r="AS360" s="172"/>
    </row>
    <row r="361" spans="11:45" ht="13.5" customHeight="1">
      <c r="K361" s="49"/>
      <c r="L361" s="49"/>
      <c r="M361" s="49"/>
      <c r="N361" s="49"/>
      <c r="O361" s="49"/>
      <c r="P361" s="49"/>
      <c r="Q361" s="49"/>
      <c r="T361" s="172"/>
      <c r="V361" s="273"/>
      <c r="W361" s="172"/>
      <c r="X361" s="172"/>
      <c r="Y361" s="172"/>
      <c r="Z361" s="172"/>
      <c r="AA361" s="172"/>
      <c r="AB361" s="172"/>
      <c r="AC361" s="172"/>
      <c r="AD361" s="172"/>
      <c r="AE361" s="172"/>
      <c r="AF361" s="172"/>
      <c r="AG361" s="172"/>
      <c r="AH361" s="172"/>
      <c r="AI361" s="172"/>
      <c r="AJ361" s="172"/>
      <c r="AK361" s="172"/>
      <c r="AL361" s="172"/>
      <c r="AM361" s="172"/>
      <c r="AN361" s="172"/>
      <c r="AO361" s="172"/>
      <c r="AP361" s="172"/>
      <c r="AQ361" s="172"/>
      <c r="AR361" s="172"/>
      <c r="AS361" s="172"/>
    </row>
    <row r="362" spans="11:45" ht="13.5" customHeight="1">
      <c r="K362" s="49"/>
      <c r="L362" s="49"/>
      <c r="M362" s="49"/>
      <c r="N362" s="49"/>
      <c r="O362" s="49"/>
      <c r="P362" s="49"/>
      <c r="Q362" s="49"/>
      <c r="T362" s="172"/>
      <c r="V362" s="273"/>
      <c r="W362" s="172"/>
      <c r="X362" s="172"/>
      <c r="Y362" s="172"/>
      <c r="Z362" s="172"/>
      <c r="AA362" s="172"/>
      <c r="AB362" s="172"/>
      <c r="AC362" s="172"/>
      <c r="AD362" s="172"/>
      <c r="AE362" s="172"/>
      <c r="AF362" s="172"/>
      <c r="AG362" s="172"/>
      <c r="AH362" s="172"/>
      <c r="AI362" s="172"/>
      <c r="AJ362" s="172"/>
      <c r="AK362" s="172"/>
      <c r="AL362" s="172"/>
      <c r="AM362" s="172"/>
      <c r="AN362" s="172"/>
      <c r="AO362" s="172"/>
      <c r="AP362" s="172"/>
      <c r="AQ362" s="172"/>
      <c r="AR362" s="172"/>
      <c r="AS362" s="172"/>
    </row>
    <row r="363" spans="11:45" ht="13.5" customHeight="1">
      <c r="K363" s="49"/>
      <c r="L363" s="49"/>
      <c r="M363" s="49"/>
      <c r="N363" s="49"/>
      <c r="O363" s="49"/>
      <c r="P363" s="49"/>
      <c r="Q363" s="49"/>
      <c r="T363" s="172"/>
      <c r="V363" s="273"/>
      <c r="W363" s="172"/>
      <c r="X363" s="172"/>
      <c r="Y363" s="172"/>
      <c r="Z363" s="172"/>
      <c r="AA363" s="172"/>
      <c r="AB363" s="172"/>
      <c r="AC363" s="172"/>
      <c r="AD363" s="172"/>
      <c r="AE363" s="172"/>
      <c r="AF363" s="172"/>
      <c r="AG363" s="172"/>
      <c r="AH363" s="172"/>
      <c r="AI363" s="172"/>
      <c r="AJ363" s="172"/>
      <c r="AK363" s="172"/>
      <c r="AL363" s="172"/>
      <c r="AM363" s="172"/>
      <c r="AN363" s="172"/>
      <c r="AO363" s="172"/>
      <c r="AP363" s="172"/>
      <c r="AQ363" s="172"/>
      <c r="AR363" s="172"/>
      <c r="AS363" s="172"/>
    </row>
    <row r="364" spans="11:45" ht="13.5" customHeight="1">
      <c r="K364" s="49"/>
      <c r="L364" s="49"/>
      <c r="M364" s="49"/>
      <c r="N364" s="49"/>
      <c r="O364" s="49"/>
      <c r="P364" s="49"/>
      <c r="Q364" s="49"/>
      <c r="T364" s="172"/>
      <c r="V364" s="273"/>
      <c r="W364" s="172"/>
      <c r="X364" s="172"/>
      <c r="Y364" s="172"/>
      <c r="Z364" s="172"/>
      <c r="AA364" s="172"/>
      <c r="AB364" s="172"/>
      <c r="AC364" s="172"/>
      <c r="AD364" s="172"/>
      <c r="AE364" s="172"/>
      <c r="AF364" s="172"/>
      <c r="AG364" s="172"/>
      <c r="AH364" s="172"/>
      <c r="AI364" s="172"/>
      <c r="AJ364" s="172"/>
      <c r="AK364" s="172"/>
      <c r="AL364" s="172"/>
      <c r="AM364" s="172"/>
      <c r="AN364" s="172"/>
      <c r="AO364" s="172"/>
      <c r="AP364" s="172"/>
      <c r="AQ364" s="172"/>
      <c r="AR364" s="172"/>
      <c r="AS364" s="172"/>
    </row>
    <row r="365" spans="11:45" ht="13.5" customHeight="1">
      <c r="K365" s="49"/>
      <c r="L365" s="49"/>
      <c r="M365" s="49"/>
      <c r="N365" s="49"/>
      <c r="O365" s="49"/>
      <c r="P365" s="49"/>
      <c r="Q365" s="49"/>
      <c r="T365" s="172"/>
      <c r="V365" s="273"/>
      <c r="W365" s="172"/>
      <c r="X365" s="172"/>
      <c r="Y365" s="172"/>
      <c r="Z365" s="172"/>
      <c r="AA365" s="172"/>
      <c r="AB365" s="172"/>
      <c r="AC365" s="172"/>
      <c r="AD365" s="172"/>
      <c r="AE365" s="172"/>
      <c r="AF365" s="172"/>
      <c r="AG365" s="172"/>
      <c r="AH365" s="172"/>
      <c r="AI365" s="172"/>
      <c r="AJ365" s="172"/>
      <c r="AK365" s="172"/>
      <c r="AL365" s="172"/>
      <c r="AM365" s="172"/>
      <c r="AN365" s="172"/>
      <c r="AO365" s="172"/>
      <c r="AP365" s="172"/>
      <c r="AQ365" s="172"/>
      <c r="AR365" s="172"/>
      <c r="AS365" s="172"/>
    </row>
    <row r="366" spans="11:45" ht="13.5" customHeight="1">
      <c r="K366" s="49"/>
      <c r="L366" s="49"/>
      <c r="M366" s="49"/>
      <c r="N366" s="49"/>
      <c r="O366" s="49"/>
      <c r="P366" s="49"/>
      <c r="Q366" s="49"/>
      <c r="T366" s="172"/>
      <c r="V366" s="273"/>
      <c r="W366" s="172"/>
      <c r="X366" s="172"/>
      <c r="Y366" s="172"/>
      <c r="Z366" s="172"/>
      <c r="AA366" s="172"/>
      <c r="AB366" s="172"/>
      <c r="AC366" s="172"/>
      <c r="AD366" s="172"/>
      <c r="AE366" s="172"/>
      <c r="AF366" s="172"/>
      <c r="AG366" s="172"/>
      <c r="AH366" s="172"/>
      <c r="AI366" s="172"/>
      <c r="AJ366" s="172"/>
      <c r="AK366" s="172"/>
      <c r="AL366" s="172"/>
      <c r="AM366" s="172"/>
      <c r="AN366" s="172"/>
      <c r="AO366" s="172"/>
      <c r="AP366" s="172"/>
      <c r="AQ366" s="172"/>
      <c r="AR366" s="172"/>
      <c r="AS366" s="172"/>
    </row>
    <row r="367" spans="11:45" ht="13.5" customHeight="1">
      <c r="T367" s="172"/>
      <c r="V367" s="273"/>
      <c r="W367" s="172"/>
      <c r="X367" s="172"/>
      <c r="Y367" s="172"/>
      <c r="Z367" s="172"/>
      <c r="AA367" s="172"/>
      <c r="AB367" s="172"/>
      <c r="AC367" s="172"/>
      <c r="AD367" s="172"/>
      <c r="AE367" s="172"/>
      <c r="AF367" s="172"/>
      <c r="AG367" s="172"/>
      <c r="AH367" s="172"/>
      <c r="AI367" s="172"/>
      <c r="AJ367" s="172"/>
      <c r="AK367" s="172"/>
      <c r="AL367" s="172"/>
      <c r="AM367" s="172"/>
      <c r="AN367" s="172"/>
      <c r="AO367" s="172"/>
      <c r="AP367" s="172"/>
      <c r="AQ367" s="172"/>
      <c r="AR367" s="172"/>
      <c r="AS367" s="172"/>
    </row>
    <row r="368" spans="11:45" ht="13.5" customHeight="1">
      <c r="T368" s="172"/>
      <c r="V368" s="273"/>
      <c r="W368" s="172"/>
      <c r="X368" s="172"/>
      <c r="Y368" s="172"/>
      <c r="Z368" s="172"/>
      <c r="AA368" s="172"/>
      <c r="AB368" s="172"/>
      <c r="AC368" s="172"/>
      <c r="AD368" s="172"/>
      <c r="AE368" s="172"/>
      <c r="AF368" s="172"/>
      <c r="AG368" s="172"/>
      <c r="AH368" s="172"/>
      <c r="AI368" s="172"/>
      <c r="AJ368" s="172"/>
      <c r="AK368" s="172"/>
      <c r="AL368" s="172"/>
      <c r="AM368" s="172"/>
      <c r="AN368" s="172"/>
      <c r="AO368" s="172"/>
      <c r="AP368" s="172"/>
      <c r="AQ368" s="172"/>
      <c r="AR368" s="172"/>
      <c r="AS368" s="172"/>
    </row>
    <row r="369" spans="20:45" ht="13.5" customHeight="1">
      <c r="T369" s="172"/>
      <c r="V369" s="273"/>
      <c r="W369" s="172"/>
      <c r="X369" s="172"/>
      <c r="Y369" s="172"/>
      <c r="Z369" s="172"/>
      <c r="AA369" s="172"/>
      <c r="AB369" s="172"/>
      <c r="AC369" s="172"/>
      <c r="AD369" s="172"/>
      <c r="AE369" s="172"/>
      <c r="AF369" s="172"/>
      <c r="AG369" s="172"/>
      <c r="AH369" s="172"/>
      <c r="AI369" s="172"/>
      <c r="AJ369" s="172"/>
      <c r="AK369" s="172"/>
      <c r="AL369" s="172"/>
      <c r="AM369" s="172"/>
      <c r="AN369" s="172"/>
      <c r="AO369" s="172"/>
      <c r="AP369" s="172"/>
      <c r="AQ369" s="172"/>
      <c r="AR369" s="172"/>
      <c r="AS369" s="172"/>
    </row>
    <row r="370" spans="20:45" ht="13.5" customHeight="1">
      <c r="V370" s="273"/>
      <c r="W370" s="172"/>
      <c r="X370" s="172"/>
      <c r="AL370" s="172"/>
      <c r="AM370" s="172"/>
      <c r="AN370" s="172"/>
      <c r="AO370" s="172"/>
      <c r="AP370" s="172"/>
      <c r="AQ370" s="172"/>
      <c r="AR370" s="172"/>
      <c r="AS370" s="172"/>
    </row>
  </sheetData>
  <sheetProtection password="C9A3" sheet="1" objects="1" scenarios="1" selectLockedCells="1"/>
  <mergeCells count="65">
    <mergeCell ref="AH28:AK28"/>
    <mergeCell ref="P21:P23"/>
    <mergeCell ref="Q21:Q23"/>
    <mergeCell ref="K21:K23"/>
    <mergeCell ref="L21:L23"/>
    <mergeCell ref="M21:M23"/>
    <mergeCell ref="O21:O23"/>
    <mergeCell ref="D42:I42"/>
    <mergeCell ref="N21:N23"/>
    <mergeCell ref="D62:H62"/>
    <mergeCell ref="D19:H19"/>
    <mergeCell ref="K51:N51"/>
    <mergeCell ref="B17:C17"/>
    <mergeCell ref="D31:H31"/>
    <mergeCell ref="D35:H35"/>
    <mergeCell ref="D20:I20"/>
    <mergeCell ref="D34:H34"/>
    <mergeCell ref="D26:H26"/>
    <mergeCell ref="K69:O69"/>
    <mergeCell ref="D66:I66"/>
    <mergeCell ref="D50:H50"/>
    <mergeCell ref="D49:H49"/>
    <mergeCell ref="D48:H48"/>
    <mergeCell ref="D52:H52"/>
    <mergeCell ref="D55:H55"/>
    <mergeCell ref="D56:H56"/>
    <mergeCell ref="D58:I58"/>
    <mergeCell ref="E68:I68"/>
    <mergeCell ref="D60:H60"/>
    <mergeCell ref="D61:H61"/>
    <mergeCell ref="D64:H64"/>
    <mergeCell ref="K59:N59"/>
    <mergeCell ref="D63:H63"/>
    <mergeCell ref="B9:D9"/>
    <mergeCell ref="H9:J9"/>
    <mergeCell ref="K8:K9"/>
    <mergeCell ref="D53:H53"/>
    <mergeCell ref="D32:H32"/>
    <mergeCell ref="C25:H25"/>
    <mergeCell ref="C15:H15"/>
    <mergeCell ref="D37:H37"/>
    <mergeCell ref="D33:H33"/>
    <mergeCell ref="E9:F9"/>
    <mergeCell ref="D30:H30"/>
    <mergeCell ref="D29:H29"/>
    <mergeCell ref="D36:H36"/>
    <mergeCell ref="D16:H16"/>
    <mergeCell ref="B44:I44"/>
    <mergeCell ref="B39:C39"/>
    <mergeCell ref="O1:Q1"/>
    <mergeCell ref="P2:Q2"/>
    <mergeCell ref="L4:Q4"/>
    <mergeCell ref="K45:L45"/>
    <mergeCell ref="D54:H54"/>
    <mergeCell ref="D46:H46"/>
    <mergeCell ref="D38:H38"/>
    <mergeCell ref="D47:H47"/>
    <mergeCell ref="D41:H41"/>
    <mergeCell ref="D40:H40"/>
    <mergeCell ref="D39:H39"/>
    <mergeCell ref="D43:I43"/>
    <mergeCell ref="E22:G22"/>
    <mergeCell ref="D18:H18"/>
    <mergeCell ref="D17:H17"/>
    <mergeCell ref="D24:I24"/>
  </mergeCells>
  <phoneticPr fontId="19" type="noConversion"/>
  <conditionalFormatting sqref="K50:Q50">
    <cfRule type="expression" dxfId="210" priority="220">
      <formula>$D$50="None"</formula>
    </cfRule>
  </conditionalFormatting>
  <conditionalFormatting sqref="K49:Q49">
    <cfRule type="expression" dxfId="209" priority="223">
      <formula>$D$49="None"</formula>
    </cfRule>
  </conditionalFormatting>
  <conditionalFormatting sqref="K48:Q48">
    <cfRule type="expression" dxfId="208" priority="224">
      <formula>$D$48="None"</formula>
    </cfRule>
  </conditionalFormatting>
  <conditionalFormatting sqref="K47:Q47">
    <cfRule type="expression" dxfId="207" priority="225">
      <formula>$D$47="None"</formula>
    </cfRule>
  </conditionalFormatting>
  <conditionalFormatting sqref="K46:Q46">
    <cfRule type="expression" dxfId="206" priority="226">
      <formula>$D46="None"</formula>
    </cfRule>
  </conditionalFormatting>
  <conditionalFormatting sqref="E22:G22">
    <cfRule type="expression" dxfId="205" priority="25">
      <formula>$E$22="Input Vacancy Rate (%)"</formula>
    </cfRule>
  </conditionalFormatting>
  <conditionalFormatting sqref="K37:Q37">
    <cfRule type="expression" dxfId="204" priority="6">
      <formula>$AB$69=1</formula>
    </cfRule>
  </conditionalFormatting>
  <conditionalFormatting sqref="K51">
    <cfRule type="expression" dxfId="203" priority="4">
      <formula>$K$51="Input Debt Service for Other Permanent Loans or Tribal Funding"</formula>
    </cfRule>
  </conditionalFormatting>
  <conditionalFormatting sqref="D46:H50">
    <cfRule type="expression" dxfId="202" priority="3">
      <formula>$D46="None"</formula>
    </cfRule>
  </conditionalFormatting>
  <conditionalFormatting sqref="D52:H56">
    <cfRule type="expression" dxfId="201" priority="2">
      <formula>$D52="None"</formula>
    </cfRule>
  </conditionalFormatting>
  <conditionalFormatting sqref="D60:H64">
    <cfRule type="expression" dxfId="200" priority="1">
      <formula>$D60="None"</formula>
    </cfRule>
  </conditionalFormatting>
  <conditionalFormatting sqref="K59">
    <cfRule type="expression" dxfId="199" priority="1418">
      <formula>$K$59="Input Debt Service for Cash Flow Permanent Loans or Tribal Funding"</formula>
    </cfRule>
  </conditionalFormatting>
  <conditionalFormatting sqref="L4">
    <cfRule type="expression" dxfId="198" priority="1476">
      <formula>$L$4="Input the project name and AHP Project Number at the top of the 'Instructions' tab."</formula>
    </cfRule>
  </conditionalFormatting>
  <dataValidations count="9">
    <dataValidation type="decimal" allowBlank="1" showInputMessage="1" showErrorMessage="1" error="Value must be numeric and cannot exceed two decimals._x000a__x000a_If you are using a formula to populate the cells, ensure that the round function is used so that the equation does not result in a value that is more than two decimals." sqref="K27:S27">
      <formula1>0</formula1>
      <formula2>99999999999.99</formula2>
    </dataValidation>
    <dataValidation type="custom" allowBlank="1" showInputMessage="1" showErrorMessage="1" sqref="P3 B8:J8 K8:K9 S9 R8:S8 N8:P8 G9:H9 E9 B9 L9:P9">
      <formula1>"&lt;0&gt;0"</formula1>
    </dataValidation>
    <dataValidation type="decimal" allowBlank="1" showInputMessage="1" showErrorMessage="1" error="A numeric value is required." sqref="K36:S36 L16:S16 K26:S26 K29:S34 K38:S38">
      <formula1>0</formula1>
      <formula2>9999999999999990</formula2>
    </dataValidation>
    <dataValidation type="custom" allowBlank="1" showInputMessage="1" showErrorMessage="1" error="Value must be numeric and cannot exceed two decimals._x000a__x000a_If capitalized operating reserves are on the Uses Statement, operating reserves may not be listed on the Rental Operating ProForma." sqref="R37:S37">
      <formula1>IF($AB$69&lt;&gt;1,INT(R37*100)/100)</formula1>
    </dataValidation>
    <dataValidation type="custom" allowBlank="1" showInputMessage="1" showErrorMessage="1" error="Data input is only permitted if a&quot;Permanent Loan&quot; with &quot;Other&quot; debt service has been indicated on the Sources Statement._x000a__x000a_Value must be numeric and contain only two decimals." prompt="Input only the annual debt service amount for the portion of the permanent loan that is for housing." sqref="K52:R56 R60:R64">
      <formula1>IF(AND($D52&lt;&gt;"None",$K$52:$Q$56=INT($K$52:$Q$56*100)/100),1,0)</formula1>
    </dataValidation>
    <dataValidation type="custom" showInputMessage="1" showErrorMessage="1" error="Possible Errors:_x000a__x000a_1. A description is required before a value can be input._x000a__x000a_2. Value must be numeric." prompt="A description is required before an amount can be input." sqref="K17:S19 K39:S41">
      <formula1>IF($U17&lt;&gt;1,K17=INT(K17*1E+30)/1E+30)</formula1>
    </dataValidation>
    <dataValidation type="custom" allowBlank="1" showInputMessage="1" showErrorMessage="1" error="Value must be numeric and cannot exceed two decimals._x000a__x000a_If capitalized operating reserves are on the Uses Statement, operating reserves may not be listed on the Rental Operating ProForma." prompt=" If capitalized operating reserves are on the Uses Statement, operating reserves may not be listed on the Rental Operating ProForma." sqref="K37:Q37">
      <formula1>IF($AB$69&lt;&gt;1,1,0)</formula1>
    </dataValidation>
    <dataValidation type="custom" showInputMessage="1" showErrorMessage="1" error="A numeric value is required." sqref="H22">
      <formula1>H22=INT(H22*10000)/10000</formula1>
    </dataValidation>
    <dataValidation type="custom" allowBlank="1" showInputMessage="1" showErrorMessage="1" error="Data input is only permitted if a&quot;Permanent Loan&quot; with &quot;Cash Flow&quot; debt service has been indicated on the Sources Statement._x000a__x000a_Value must be numeric and contain only two decimals." prompt="Input only the annual debt service amount for the portion of the permanent loan that is for housing." sqref="K60:Q64">
      <formula1>IF(AND($D60&lt;&gt;"None",$K$52:$Q$56=INT($K$52:$Q$56*100)/100),1,0)</formula1>
    </dataValidation>
  </dataValidations>
  <hyperlinks>
    <hyperlink ref="H9" location="'B-Rent Schedule'!D13" display="'B-Rent Schedule'!D13"/>
    <hyperlink ref="L9" location="'C(2)-Commercial ProForma'!K16" display="'C(2)-Commercial ProForma'!K16"/>
    <hyperlink ref="O9" location="'F-TIV'!Q17" display="'F-TIV'!Q17"/>
    <hyperlink ref="M9" location="'E-Feasibility Analysis'!M22" display="'E-Feasibility Analysis'!M22"/>
    <hyperlink ref="G9:H10" location="'A(1)-Sources Stmt.'!D19" display="'A(1)-Sources Stmt.'!D19"/>
    <hyperlink ref="G9" location="'A(2)-Uses Statement'!H12" display="'A(2)-Uses Statement'!H12"/>
    <hyperlink ref="P9" location="'Validation Warnings'!M9" display="'Validation Warnings'!M9"/>
    <hyperlink ref="N9" location="'E(2)-Sources &amp; Uses Analysis'!G19" display="Sources &amp; Uses Analysis"/>
    <hyperlink ref="B9:D9" location="'Project Info and Instructions'!F16" display="Project Info. &amp; Instructions"/>
    <hyperlink ref="E9:F9" location="'A(1)-Sources Stmt.'!D19" display="'A(1)-Sources Stmt.'!D19"/>
    <hyperlink ref="H9:J9" location="'B-Rent Schedule'!D13" display="'B-Rent Schedule'!D13"/>
  </hyperlinks>
  <pageMargins left="0.25" right="0.25" top="0.75" bottom="0.75" header="0.5" footer="0.5"/>
  <pageSetup scale="64" orientation="portrait" r:id="rId1"/>
  <headerFooter alignWithMargins="0"/>
  <ignoredErrors>
    <ignoredError sqref="M50:Q50 L46:Q46 M48:Q48 M47:P47" unlockedFormula="1"/>
  </ignoredErrors>
  <drawing r:id="rId2"/>
  <extLst>
    <ext xmlns:x14="http://schemas.microsoft.com/office/spreadsheetml/2009/9/main" uri="{78C0D931-6437-407d-A8EE-F0AAD7539E65}">
      <x14:conditionalFormattings>
        <x14:conditionalFormatting xmlns:xm="http://schemas.microsoft.com/office/excel/2006/main">
          <x14:cfRule type="expression" priority="1289" id="{CAA118CB-B435-4746-AB83-FFCF4A996D56}">
            <xm:f>'Project Info and Instructions'!$F$20="Owner-occupied"</xm:f>
            <x14:dxf>
              <font>
                <strike/>
                <color theme="0" tint="-0.34998626667073579"/>
              </font>
              <fill>
                <patternFill>
                  <bgColor theme="0" tint="-0.14996795556505021"/>
                </patternFill>
              </fill>
            </x14:dxf>
          </x14:cfRule>
          <xm:sqref>K8:K10</xm:sqref>
        </x14:conditionalFormatting>
        <x14:conditionalFormatting xmlns:xm="http://schemas.microsoft.com/office/excel/2006/main">
          <x14:cfRule type="expression" priority="1292" id="{B70EAB93-D200-4321-B7B4-0A00D67ED8A0}">
            <xm:f>'Project Info and Instructions'!$F$22="No"</xm:f>
            <x14:dxf>
              <font>
                <strike/>
                <color theme="0" tint="-0.34998626667073579"/>
              </font>
              <fill>
                <patternFill>
                  <bgColor theme="0" tint="-0.14996795556505021"/>
                </patternFill>
              </fill>
            </x14:dxf>
          </x14:cfRule>
          <x14:cfRule type="expression" priority="1293" id="{FD5D70DD-E0E1-45DC-9A83-C9BBD8896CA0}">
            <xm:f>'Project Info and Instructions'!$F$20="Owner-occupied"</xm:f>
            <x14:dxf>
              <font>
                <strike/>
                <color theme="0" tint="-0.34998626667073579"/>
              </font>
              <fill>
                <patternFill>
                  <bgColor theme="0" tint="-0.14996795556505021"/>
                </patternFill>
              </fill>
            </x14:dxf>
          </x14:cfRule>
          <xm:sqref>L9</xm:sqref>
        </x14:conditionalFormatting>
        <x14:conditionalFormatting xmlns:xm="http://schemas.microsoft.com/office/excel/2006/main">
          <x14:cfRule type="expression" priority="1613" id="{679F7BBE-2523-488D-92B6-41CE0CF6A918}">
            <xm:f>'Project Info and Instructions'!$V$50&gt;6</xm:f>
            <x14:dxf>
              <font>
                <strike/>
                <color theme="0" tint="-0.34998626667073579"/>
              </font>
              <fill>
                <gradientFill degree="90">
                  <stop position="0">
                    <color theme="0" tint="-0.1490218817712943"/>
                  </stop>
                  <stop position="1">
                    <color theme="0" tint="-0.1490218817712943"/>
                  </stop>
                </gradientFill>
              </fill>
            </x14:dxf>
          </x14:cfRule>
          <xm:sqref>H9</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BU360"/>
  <sheetViews>
    <sheetView showGridLines="0" zoomScale="90" zoomScaleNormal="90" workbookViewId="0">
      <pane ySplit="14" topLeftCell="A15" activePane="bottomLeft" state="frozen"/>
      <selection pane="bottomLeft" activeCell="K16" sqref="K16"/>
    </sheetView>
  </sheetViews>
  <sheetFormatPr defaultColWidth="9.140625" defaultRowHeight="13.5" customHeight="1"/>
  <cols>
    <col min="1" max="1" width="1" style="15" customWidth="1"/>
    <col min="2" max="2" width="3.28515625" style="49" customWidth="1"/>
    <col min="3" max="3" width="4.42578125" style="15" customWidth="1"/>
    <col min="4" max="4" width="5" style="15" customWidth="1"/>
    <col min="5" max="6" width="5.42578125" style="15" customWidth="1"/>
    <col min="7" max="7" width="11.85546875" style="15" customWidth="1"/>
    <col min="8" max="8" width="10" style="15" customWidth="1"/>
    <col min="9" max="9" width="0.5703125" style="15" customWidth="1"/>
    <col min="10" max="10" width="0.7109375" style="15" customWidth="1"/>
    <col min="11" max="17" width="14.28515625" style="15" customWidth="1"/>
    <col min="18" max="18" width="14.28515625" customWidth="1"/>
    <col min="19" max="19" width="2.7109375" style="15" hidden="1" customWidth="1"/>
    <col min="20" max="20" width="9.140625" style="126" hidden="1" customWidth="1"/>
    <col min="21" max="21" width="9.140625" style="98" hidden="1" customWidth="1"/>
    <col min="22" max="23" width="9.140625" style="97" hidden="1" customWidth="1"/>
    <col min="24" max="24" width="10.42578125" style="97" hidden="1" customWidth="1"/>
    <col min="25" max="26" width="9.140625" style="97" hidden="1" customWidth="1"/>
    <col min="27" max="27" width="31.140625" style="97" hidden="1" customWidth="1"/>
    <col min="28" max="28" width="14.28515625" style="97" hidden="1" customWidth="1"/>
    <col min="29" max="29" width="9.85546875" style="97" hidden="1" customWidth="1"/>
    <col min="30" max="30" width="16.140625" style="97" hidden="1" customWidth="1"/>
    <col min="31" max="31" width="10" style="97" hidden="1" customWidth="1"/>
    <col min="32" max="32" width="10.28515625" style="97" hidden="1" customWidth="1"/>
    <col min="33" max="36" width="9.140625" style="97" hidden="1" customWidth="1"/>
    <col min="37" max="37" width="14.5703125" style="97" hidden="1" customWidth="1"/>
    <col min="38" max="38" width="9.140625" style="15" hidden="1" customWidth="1"/>
    <col min="39" max="39" width="17.28515625" style="15" hidden="1" customWidth="1"/>
    <col min="40" max="40" width="11.42578125" style="15" hidden="1" customWidth="1"/>
    <col min="41" max="73" width="9.140625" style="15" hidden="1" customWidth="1"/>
    <col min="74" max="111" width="9.140625" style="15" customWidth="1"/>
    <col min="112" max="16384" width="9.140625" style="15"/>
  </cols>
  <sheetData>
    <row r="1" spans="1:58" s="49" customFormat="1" ht="15" customHeight="1">
      <c r="M1" s="1938" t="s">
        <v>1160</v>
      </c>
      <c r="N1" s="1938"/>
      <c r="O1" s="1938"/>
      <c r="P1" s="1938"/>
      <c r="Q1" s="1938"/>
      <c r="R1" s="1277"/>
      <c r="T1" s="126"/>
      <c r="U1" s="110"/>
      <c r="V1" s="217"/>
      <c r="W1" s="217"/>
      <c r="X1" s="217"/>
      <c r="Y1" s="217"/>
      <c r="Z1" s="217"/>
      <c r="AA1" s="217"/>
      <c r="AB1" s="217"/>
      <c r="AC1" s="217"/>
      <c r="AD1" s="217"/>
      <c r="AE1" s="217"/>
      <c r="AF1" s="217"/>
      <c r="AG1" s="217"/>
      <c r="AH1" s="217"/>
      <c r="AI1" s="217"/>
      <c r="AJ1" s="217"/>
      <c r="AK1" s="217"/>
    </row>
    <row r="2" spans="1:58" ht="13.5" customHeight="1">
      <c r="C2" s="49"/>
      <c r="D2" s="49"/>
      <c r="E2" s="49"/>
      <c r="F2" s="49"/>
      <c r="G2" s="49"/>
      <c r="H2" s="49"/>
      <c r="I2" s="49"/>
      <c r="P2" s="2015" t="str">
        <f>'Project Info and Instructions'!O2</f>
        <v>Updated January 2018</v>
      </c>
      <c r="Q2" s="2015"/>
      <c r="R2" s="909"/>
      <c r="T2" s="124"/>
    </row>
    <row r="3" spans="1:58" ht="6.75" customHeight="1">
      <c r="C3" s="13"/>
      <c r="D3" s="13"/>
      <c r="E3" s="13"/>
      <c r="F3" s="13"/>
      <c r="G3" s="13"/>
      <c r="H3" s="13"/>
      <c r="I3" s="13"/>
      <c r="O3" s="101"/>
      <c r="P3" s="101"/>
      <c r="Q3" s="1278"/>
      <c r="R3" s="1278"/>
      <c r="S3" s="13"/>
      <c r="T3" s="79"/>
      <c r="U3" s="133"/>
      <c r="X3" s="39"/>
      <c r="Y3" s="39"/>
      <c r="Z3" s="39"/>
      <c r="AA3" s="39"/>
      <c r="AB3" s="39"/>
      <c r="AC3" s="39"/>
      <c r="AD3" s="39"/>
      <c r="AE3" s="39"/>
      <c r="AF3" s="39"/>
      <c r="AG3" s="39"/>
      <c r="AH3" s="39"/>
      <c r="AI3" s="39"/>
      <c r="AJ3" s="39"/>
      <c r="AK3" s="39"/>
      <c r="AL3" s="7"/>
      <c r="AM3" s="7"/>
    </row>
    <row r="4" spans="1:58" ht="15" customHeight="1">
      <c r="C4" s="13"/>
      <c r="D4" s="13"/>
      <c r="E4" s="13"/>
      <c r="F4" s="13"/>
      <c r="G4" s="13"/>
      <c r="H4" s="13"/>
      <c r="I4" s="13"/>
      <c r="K4" s="2016" t="str">
        <f>IF('Project Info and Instructions'!W35&gt;0,"Input the project name and AHP Project Number at the top of the 'Instructions' tab.",'Project Info and Instructions'!F18&amp;" - "&amp;'Project Info and Instructions'!F16)</f>
        <v>Input the project name and AHP Project Number at the top of the 'Instructions' tab.</v>
      </c>
      <c r="L4" s="2016"/>
      <c r="M4" s="2016"/>
      <c r="N4" s="2016"/>
      <c r="O4" s="2016"/>
      <c r="P4" s="2016"/>
      <c r="Q4" s="2016"/>
      <c r="R4" s="1279"/>
      <c r="S4" s="13"/>
      <c r="T4" s="79"/>
      <c r="U4" s="133"/>
      <c r="X4" s="39"/>
      <c r="Y4" s="39"/>
      <c r="Z4" s="39"/>
      <c r="AA4" s="39"/>
      <c r="AB4" s="39"/>
      <c r="AC4" s="39"/>
      <c r="AD4" s="39"/>
      <c r="AE4" s="39"/>
      <c r="AF4" s="39"/>
      <c r="AG4" s="39"/>
      <c r="AH4" s="39"/>
      <c r="AI4" s="39"/>
      <c r="AJ4" s="39"/>
      <c r="AK4" s="39"/>
      <c r="AL4" s="7"/>
      <c r="AM4" s="7"/>
    </row>
    <row r="5" spans="1:58" ht="7.5" customHeight="1" thickBot="1">
      <c r="C5" s="13"/>
      <c r="D5" s="13"/>
      <c r="E5" s="13"/>
      <c r="F5" s="13"/>
      <c r="G5" s="13"/>
      <c r="H5" s="13"/>
      <c r="I5" s="13"/>
      <c r="J5" s="13"/>
      <c r="K5" s="69"/>
      <c r="L5" s="69"/>
      <c r="M5" s="405"/>
      <c r="O5" s="104"/>
      <c r="P5" s="104"/>
      <c r="Q5" s="104"/>
      <c r="S5" s="104"/>
      <c r="T5" s="79"/>
      <c r="U5" s="133"/>
      <c r="V5" s="99"/>
      <c r="W5" s="99"/>
      <c r="X5" s="39"/>
      <c r="Y5" s="39"/>
      <c r="Z5" s="39"/>
      <c r="AA5" s="39"/>
      <c r="AB5" s="39"/>
      <c r="AC5" s="39"/>
      <c r="AD5" s="39"/>
      <c r="AE5" s="39"/>
      <c r="AF5" s="39"/>
      <c r="AG5" s="39"/>
      <c r="AH5" s="39"/>
      <c r="AI5" s="39"/>
      <c r="AJ5" s="39"/>
      <c r="AK5" s="39"/>
      <c r="AL5" s="7"/>
      <c r="AM5" s="7"/>
    </row>
    <row r="6" spans="1:58" ht="30.75" customHeight="1" thickBot="1">
      <c r="D6" s="1176"/>
      <c r="E6" s="1176"/>
      <c r="F6" s="1176"/>
      <c r="G6" s="1176"/>
      <c r="H6" s="1176"/>
      <c r="I6" s="1176"/>
      <c r="J6" s="1176"/>
      <c r="K6" s="1176"/>
      <c r="L6" s="1176"/>
      <c r="M6" s="1176"/>
      <c r="N6" s="1176"/>
      <c r="O6" s="1176"/>
      <c r="P6" s="1176"/>
      <c r="Q6" s="105"/>
      <c r="S6" s="100"/>
      <c r="T6" s="100"/>
      <c r="U6" s="133"/>
      <c r="V6" s="99"/>
      <c r="W6" s="99"/>
      <c r="X6" s="39"/>
      <c r="Y6" s="39"/>
      <c r="Z6" s="39"/>
      <c r="AA6" s="39"/>
      <c r="AB6" s="39"/>
      <c r="AC6" s="39"/>
      <c r="AD6" s="39"/>
      <c r="AE6" s="39"/>
      <c r="AF6" s="39"/>
      <c r="AG6" s="39"/>
      <c r="AH6" s="39"/>
      <c r="AI6" s="39"/>
      <c r="AJ6" s="39"/>
      <c r="AK6" s="39"/>
      <c r="AL6" s="7"/>
      <c r="AM6" s="7"/>
    </row>
    <row r="7" spans="1:58" ht="7.5" customHeight="1" thickBot="1">
      <c r="Q7" s="106"/>
      <c r="T7" s="124"/>
      <c r="X7" s="39"/>
      <c r="Y7" s="39"/>
      <c r="Z7" s="39"/>
      <c r="AA7" s="39"/>
      <c r="AB7" s="39"/>
      <c r="AC7" s="39"/>
      <c r="AD7" s="39"/>
      <c r="AE7" s="39"/>
      <c r="AF7" s="39"/>
      <c r="AG7" s="39"/>
      <c r="AH7" s="39"/>
      <c r="AI7" s="39"/>
      <c r="AJ7" s="39"/>
      <c r="AK7" s="39"/>
      <c r="AL7" s="7"/>
      <c r="AM7" s="7"/>
    </row>
    <row r="8" spans="1:58" s="91" customFormat="1" ht="3.75" customHeight="1">
      <c r="B8" s="587"/>
      <c r="C8" s="495"/>
      <c r="D8" s="2"/>
      <c r="E8" s="2"/>
      <c r="F8" s="2"/>
      <c r="G8" s="2"/>
      <c r="H8" s="2"/>
      <c r="I8" s="2"/>
      <c r="J8" s="2"/>
      <c r="K8" s="15"/>
      <c r="L8" s="2018" t="s">
        <v>834</v>
      </c>
      <c r="O8" s="2"/>
      <c r="P8" s="2"/>
      <c r="Q8" s="2"/>
      <c r="R8" s="47"/>
      <c r="T8" s="421"/>
      <c r="U8" s="269"/>
      <c r="X8" s="90"/>
      <c r="Y8" s="90"/>
      <c r="Z8" s="90"/>
      <c r="AA8" s="90"/>
      <c r="AB8" s="90"/>
      <c r="AC8" s="90"/>
      <c r="AD8" s="90"/>
      <c r="AE8" s="90"/>
      <c r="AF8" s="90"/>
      <c r="AG8" s="90"/>
      <c r="AH8" s="90"/>
      <c r="AI8" s="90"/>
      <c r="AJ8" s="90"/>
      <c r="AK8" s="90"/>
      <c r="AL8" s="90"/>
      <c r="AM8" s="90"/>
    </row>
    <row r="9" spans="1:58" s="91" customFormat="1" ht="36.75" customHeight="1">
      <c r="A9" s="956"/>
      <c r="B9" s="1824" t="s">
        <v>937</v>
      </c>
      <c r="C9" s="1824"/>
      <c r="D9" s="1824"/>
      <c r="E9" s="1773" t="s">
        <v>838</v>
      </c>
      <c r="F9" s="1774"/>
      <c r="G9" s="1301" t="s">
        <v>832</v>
      </c>
      <c r="H9" s="1773" t="s">
        <v>833</v>
      </c>
      <c r="I9" s="1824"/>
      <c r="J9" s="1774"/>
      <c r="K9" s="1301" t="s">
        <v>964</v>
      </c>
      <c r="L9" s="2019"/>
      <c r="M9" s="1563" t="s">
        <v>836</v>
      </c>
      <c r="N9" s="1299" t="s">
        <v>1171</v>
      </c>
      <c r="O9" s="1301" t="s">
        <v>853</v>
      </c>
      <c r="P9" s="1301" t="s">
        <v>855</v>
      </c>
      <c r="S9" s="697"/>
      <c r="T9" s="956"/>
      <c r="U9" s="956"/>
      <c r="V9" s="956"/>
      <c r="W9" s="956"/>
      <c r="X9" s="956"/>
      <c r="Y9" s="956"/>
      <c r="Z9" s="956"/>
      <c r="AA9" s="956"/>
      <c r="AB9" s="956"/>
      <c r="AC9" s="956"/>
      <c r="AD9" s="956"/>
      <c r="AE9" s="956"/>
      <c r="AF9" s="956"/>
      <c r="AG9" s="956"/>
      <c r="AH9" s="956"/>
      <c r="AI9" s="956"/>
      <c r="AJ9" s="956"/>
      <c r="AK9" s="956"/>
      <c r="AL9" s="956"/>
      <c r="AM9" s="956"/>
      <c r="AN9" s="956"/>
      <c r="AO9" s="956"/>
      <c r="AP9" s="956"/>
      <c r="AQ9" s="956"/>
      <c r="AR9" s="956"/>
      <c r="AS9" s="956"/>
      <c r="AT9" s="956"/>
      <c r="AU9" s="956"/>
      <c r="AV9" s="956"/>
      <c r="AW9" s="956"/>
      <c r="AX9" s="956"/>
      <c r="AY9" s="956"/>
      <c r="AZ9" s="956"/>
      <c r="BA9" s="956"/>
      <c r="BB9" s="956"/>
      <c r="BC9" s="956"/>
      <c r="BD9" s="956"/>
      <c r="BE9" s="956"/>
      <c r="BF9" s="956"/>
    </row>
    <row r="10" spans="1:58" ht="3" customHeight="1">
      <c r="B10" s="702"/>
      <c r="C10" s="703"/>
      <c r="D10" s="1311"/>
      <c r="E10" s="1312"/>
      <c r="F10" s="1312"/>
      <c r="G10" s="703"/>
      <c r="H10" s="703"/>
      <c r="I10" s="703"/>
      <c r="J10" s="703"/>
      <c r="K10" s="703"/>
      <c r="L10" s="696"/>
      <c r="M10" s="135"/>
      <c r="N10" s="135"/>
      <c r="O10" s="135"/>
      <c r="P10" s="135"/>
      <c r="Q10" s="135"/>
      <c r="R10" s="49"/>
      <c r="S10" s="49"/>
      <c r="T10" s="15"/>
      <c r="U10" s="15"/>
      <c r="V10" s="15"/>
      <c r="W10" s="15"/>
      <c r="X10" s="15"/>
      <c r="Y10" s="15"/>
      <c r="Z10" s="15"/>
      <c r="AA10" s="15"/>
      <c r="AB10" s="15"/>
      <c r="AC10" s="15"/>
      <c r="AD10" s="15"/>
      <c r="AE10" s="15"/>
      <c r="AF10" s="15"/>
      <c r="AG10" s="15"/>
      <c r="AH10" s="15"/>
      <c r="AI10" s="15"/>
      <c r="AJ10" s="15"/>
      <c r="AK10" s="15"/>
    </row>
    <row r="11" spans="1:58" ht="4.5" customHeight="1">
      <c r="B11" s="182"/>
      <c r="C11" s="49"/>
      <c r="D11" s="49"/>
      <c r="E11" s="49"/>
      <c r="F11" s="49"/>
      <c r="G11" s="49"/>
      <c r="H11" s="49"/>
      <c r="I11" s="49"/>
      <c r="J11" s="49"/>
      <c r="K11" s="49"/>
      <c r="L11" s="49"/>
      <c r="M11" s="49"/>
      <c r="N11" s="260"/>
      <c r="O11" s="213"/>
      <c r="P11" s="49"/>
      <c r="Q11" s="49"/>
      <c r="S11" s="49"/>
      <c r="T11" s="15"/>
      <c r="U11" s="15"/>
      <c r="V11" s="15"/>
      <c r="W11" s="15"/>
      <c r="X11" s="15"/>
      <c r="Y11" s="15"/>
      <c r="Z11" s="15"/>
      <c r="AA11" s="15"/>
      <c r="AB11" s="15"/>
      <c r="AC11" s="15"/>
      <c r="AD11" s="15"/>
      <c r="AE11" s="15"/>
      <c r="AF11" s="15"/>
      <c r="AG11" s="15"/>
      <c r="AH11" s="15"/>
      <c r="AI11" s="15"/>
      <c r="AJ11" s="15"/>
      <c r="AK11" s="15"/>
    </row>
    <row r="12" spans="1:58" s="91" customFormat="1" ht="4.5" customHeight="1">
      <c r="D12" s="142"/>
      <c r="E12" s="138"/>
      <c r="F12" s="138"/>
      <c r="G12" s="138"/>
      <c r="H12" s="138"/>
      <c r="I12" s="138"/>
      <c r="J12" s="138"/>
      <c r="K12" s="137"/>
      <c r="L12" s="137"/>
      <c r="M12" s="261"/>
      <c r="N12" s="137"/>
      <c r="O12" s="137"/>
      <c r="P12" s="166"/>
      <c r="Q12" s="262"/>
      <c r="R12"/>
      <c r="U12" s="263"/>
      <c r="V12" s="145"/>
      <c r="W12" s="145"/>
      <c r="X12" s="264"/>
      <c r="Y12" s="90"/>
    </row>
    <row r="13" spans="1:58" ht="4.5" customHeight="1">
      <c r="C13" s="13"/>
      <c r="D13" s="49"/>
      <c r="E13" s="49"/>
      <c r="F13" s="49"/>
      <c r="G13" s="49"/>
      <c r="H13" s="49"/>
      <c r="I13" s="49"/>
      <c r="J13" s="49"/>
      <c r="K13" s="36"/>
      <c r="L13" s="36"/>
      <c r="M13" s="36"/>
      <c r="N13" s="36"/>
      <c r="O13" s="37"/>
      <c r="P13" s="37"/>
      <c r="Q13" s="13"/>
      <c r="S13" s="13"/>
      <c r="T13" s="79"/>
      <c r="U13" s="265"/>
      <c r="V13" s="39"/>
      <c r="W13" s="39"/>
      <c r="X13" s="39"/>
      <c r="Y13" s="39"/>
      <c r="Z13" s="39"/>
      <c r="AA13" s="39"/>
      <c r="AB13" s="39"/>
      <c r="AC13" s="39"/>
      <c r="AD13" s="39"/>
      <c r="AE13" s="39"/>
      <c r="AF13" s="39"/>
      <c r="AG13" s="39"/>
      <c r="AH13" s="39"/>
      <c r="AI13" s="39"/>
      <c r="AJ13" s="39"/>
      <c r="AK13" s="39"/>
      <c r="AL13" s="7"/>
      <c r="AM13" s="7"/>
    </row>
    <row r="14" spans="1:58" ht="12.75" customHeight="1">
      <c r="C14" s="432"/>
      <c r="I14" s="432"/>
      <c r="K14" s="1581" t="s">
        <v>8</v>
      </c>
      <c r="L14" s="1582" t="s">
        <v>9</v>
      </c>
      <c r="M14" s="1582" t="s">
        <v>10</v>
      </c>
      <c r="N14" s="1582" t="s">
        <v>11</v>
      </c>
      <c r="O14" s="1582" t="s">
        <v>12</v>
      </c>
      <c r="P14" s="1582" t="s">
        <v>13</v>
      </c>
      <c r="Q14" s="1583" t="s">
        <v>14</v>
      </c>
      <c r="S14" s="10"/>
      <c r="T14" s="74"/>
      <c r="U14" s="167"/>
      <c r="V14" s="39"/>
      <c r="W14" s="39"/>
      <c r="X14" s="15"/>
      <c r="Y14" s="15"/>
      <c r="Z14" s="15"/>
      <c r="AA14" s="15"/>
      <c r="AB14" s="15"/>
      <c r="AC14" s="15"/>
      <c r="AD14" s="15"/>
      <c r="AE14" s="15"/>
      <c r="AF14" s="15"/>
      <c r="AG14" s="39"/>
      <c r="AH14" s="39"/>
      <c r="AI14" s="39"/>
      <c r="AJ14" s="39"/>
      <c r="AK14" s="39"/>
      <c r="AL14" s="7"/>
      <c r="AM14" s="7"/>
    </row>
    <row r="15" spans="1:58" ht="21" customHeight="1">
      <c r="B15" s="15"/>
      <c r="C15" s="432"/>
      <c r="D15" s="1980" t="s">
        <v>809</v>
      </c>
      <c r="E15" s="1980"/>
      <c r="F15" s="1980"/>
      <c r="G15" s="1980"/>
      <c r="H15" s="1980"/>
      <c r="I15" s="432"/>
      <c r="T15" s="15"/>
      <c r="U15" s="15"/>
      <c r="V15" s="15"/>
      <c r="W15" s="15"/>
      <c r="X15" s="15"/>
      <c r="Y15" s="15"/>
      <c r="Z15" s="15"/>
      <c r="AA15" s="15"/>
      <c r="AB15" s="15"/>
      <c r="AC15" s="15"/>
      <c r="AD15" s="15"/>
      <c r="AE15" s="15"/>
      <c r="AF15" s="15"/>
      <c r="AG15" s="15"/>
      <c r="AH15" s="15"/>
      <c r="AI15" s="15"/>
      <c r="AJ15" s="15"/>
      <c r="AK15" s="15"/>
    </row>
    <row r="16" spans="1:58" s="40" customFormat="1" ht="13.5" customHeight="1">
      <c r="B16" s="172"/>
      <c r="C16" s="10"/>
      <c r="D16" s="1858" t="s">
        <v>112</v>
      </c>
      <c r="E16" s="1858"/>
      <c r="F16" s="1858"/>
      <c r="G16" s="1858"/>
      <c r="H16" s="1858"/>
      <c r="I16" s="168"/>
      <c r="J16" s="596"/>
      <c r="K16" s="735"/>
      <c r="L16" s="721"/>
      <c r="M16" s="721"/>
      <c r="N16" s="721"/>
      <c r="O16" s="721"/>
      <c r="P16" s="721"/>
      <c r="Q16" s="722"/>
      <c r="R16"/>
      <c r="S16" s="10"/>
      <c r="T16" s="74"/>
      <c r="U16" s="167"/>
      <c r="V16" s="8"/>
      <c r="W16" s="8"/>
      <c r="AG16" s="8"/>
      <c r="AH16" s="8"/>
      <c r="AI16" s="8"/>
      <c r="AJ16" s="8"/>
      <c r="AK16" s="8"/>
      <c r="AL16" s="8"/>
      <c r="AM16" s="8"/>
    </row>
    <row r="17" spans="2:55" s="40" customFormat="1" ht="13.5" customHeight="1">
      <c r="B17" s="1982" t="s">
        <v>814</v>
      </c>
      <c r="C17" s="2010"/>
      <c r="D17" s="1974"/>
      <c r="E17" s="1975"/>
      <c r="F17" s="1975"/>
      <c r="G17" s="1975"/>
      <c r="H17" s="1979"/>
      <c r="I17" s="88"/>
      <c r="K17" s="747"/>
      <c r="L17" s="584"/>
      <c r="M17" s="584"/>
      <c r="N17" s="584"/>
      <c r="O17" s="584"/>
      <c r="P17" s="584"/>
      <c r="Q17" s="748"/>
      <c r="R17"/>
      <c r="T17" s="15">
        <f>IF(D17="",1,0)</f>
        <v>1</v>
      </c>
    </row>
    <row r="18" spans="2:55" s="41" customFormat="1" ht="13.5" customHeight="1">
      <c r="B18" s="88"/>
      <c r="C18" s="45"/>
      <c r="D18" s="1972"/>
      <c r="E18" s="1973"/>
      <c r="F18" s="1973"/>
      <c r="G18" s="1973"/>
      <c r="H18" s="1978"/>
      <c r="I18" s="88"/>
      <c r="J18" s="595"/>
      <c r="K18" s="726"/>
      <c r="L18" s="727"/>
      <c r="M18" s="727"/>
      <c r="N18" s="727"/>
      <c r="O18" s="727"/>
      <c r="P18" s="727"/>
      <c r="Q18" s="728"/>
      <c r="R18"/>
      <c r="S18" s="45"/>
      <c r="T18" s="15">
        <f>IF(D18="",1,0)</f>
        <v>1</v>
      </c>
      <c r="U18" s="375"/>
      <c r="V18" s="19"/>
      <c r="W18" s="19"/>
      <c r="X18" s="376"/>
      <c r="Y18" s="14"/>
      <c r="Z18" s="8"/>
      <c r="AA18" s="8"/>
      <c r="AB18" s="8"/>
      <c r="AC18" s="8"/>
      <c r="AD18" s="8"/>
      <c r="AE18" s="8"/>
      <c r="AF18" s="8"/>
      <c r="AG18" s="19"/>
      <c r="AH18" s="19"/>
      <c r="AI18" s="19"/>
      <c r="AJ18" s="19"/>
      <c r="AK18" s="19"/>
      <c r="AL18" s="19"/>
      <c r="AM18" s="19"/>
    </row>
    <row r="19" spans="2:55" s="41" customFormat="1" ht="13.5" customHeight="1" thickBot="1">
      <c r="B19" s="88"/>
      <c r="C19" s="45"/>
      <c r="D19" s="1970"/>
      <c r="E19" s="1971"/>
      <c r="F19" s="1971"/>
      <c r="G19" s="1971"/>
      <c r="H19" s="1989"/>
      <c r="I19" s="168"/>
      <c r="J19" s="595"/>
      <c r="K19" s="729"/>
      <c r="L19" s="730"/>
      <c r="M19" s="730"/>
      <c r="N19" s="730"/>
      <c r="O19" s="730"/>
      <c r="P19" s="730"/>
      <c r="Q19" s="731"/>
      <c r="R19"/>
      <c r="S19" s="45"/>
      <c r="T19" s="15">
        <f>IF(D19="",1,0)</f>
        <v>1</v>
      </c>
      <c r="U19" s="375"/>
      <c r="V19" s="19"/>
      <c r="W19" s="19"/>
      <c r="X19" s="40"/>
      <c r="Y19" s="40"/>
      <c r="Z19" s="40"/>
      <c r="AA19" s="40"/>
      <c r="AB19" s="40"/>
      <c r="AC19" s="40"/>
      <c r="AD19" s="40"/>
      <c r="AE19" s="40"/>
      <c r="AF19" s="40"/>
      <c r="AG19" s="19"/>
      <c r="AH19" s="19"/>
      <c r="AI19" s="19"/>
      <c r="AJ19" s="19"/>
      <c r="AK19" s="19"/>
      <c r="AL19" s="19"/>
      <c r="AM19" s="19"/>
    </row>
    <row r="20" spans="2:55" s="41" customFormat="1" ht="13.5" customHeight="1" thickTop="1" thickBot="1">
      <c r="B20" s="88"/>
      <c r="C20" s="45"/>
      <c r="D20" s="1863" t="s">
        <v>0</v>
      </c>
      <c r="E20" s="1863"/>
      <c r="F20" s="1863"/>
      <c r="G20" s="1863"/>
      <c r="H20" s="1863"/>
      <c r="I20" s="1863"/>
      <c r="J20" s="590"/>
      <c r="K20" s="975">
        <f>ROUND(SUM(K16:K19),0)</f>
        <v>0</v>
      </c>
      <c r="L20" s="976">
        <f t="shared" ref="L20:Q20" si="0">ROUND(SUM(L16:L19),0)</f>
        <v>0</v>
      </c>
      <c r="M20" s="976">
        <f t="shared" si="0"/>
        <v>0</v>
      </c>
      <c r="N20" s="976">
        <f t="shared" si="0"/>
        <v>0</v>
      </c>
      <c r="O20" s="976">
        <f t="shared" si="0"/>
        <v>0</v>
      </c>
      <c r="P20" s="976">
        <f t="shared" si="0"/>
        <v>0</v>
      </c>
      <c r="Q20" s="981">
        <f t="shared" si="0"/>
        <v>0</v>
      </c>
      <c r="R20"/>
      <c r="S20" s="45"/>
      <c r="T20" s="266"/>
      <c r="U20" s="26"/>
      <c r="V20" s="19"/>
      <c r="W20" s="19"/>
      <c r="X20" s="376"/>
      <c r="Y20" s="14"/>
      <c r="Z20" s="8"/>
      <c r="AA20" s="8"/>
      <c r="AB20" s="8"/>
      <c r="AC20" s="8"/>
      <c r="AD20" s="8"/>
      <c r="AE20" s="8"/>
      <c r="AF20" s="8"/>
      <c r="AG20" s="19"/>
      <c r="AH20" s="19"/>
      <c r="AI20" s="19"/>
      <c r="AJ20" s="19"/>
      <c r="AK20" s="19"/>
      <c r="AL20" s="19"/>
      <c r="AM20" s="19"/>
    </row>
    <row r="21" spans="2:55" s="40" customFormat="1" ht="1.5" customHeight="1" thickTop="1" thickBot="1">
      <c r="D21" s="10"/>
      <c r="E21" s="10"/>
      <c r="F21" s="10"/>
      <c r="G21" s="10"/>
      <c r="H21" s="10"/>
      <c r="I21" s="10"/>
      <c r="K21" s="1995">
        <f>ROUND(+K20*$H$22,0)</f>
        <v>0</v>
      </c>
      <c r="L21" s="1986">
        <f t="shared" ref="L21:Q21" si="1">ROUND(+L20*$H$22,0)</f>
        <v>0</v>
      </c>
      <c r="M21" s="1986">
        <f t="shared" si="1"/>
        <v>0</v>
      </c>
      <c r="N21" s="1986">
        <f t="shared" si="1"/>
        <v>0</v>
      </c>
      <c r="O21" s="1986">
        <f t="shared" si="1"/>
        <v>0</v>
      </c>
      <c r="P21" s="1986">
        <f t="shared" si="1"/>
        <v>0</v>
      </c>
      <c r="Q21" s="2012">
        <f t="shared" si="1"/>
        <v>0</v>
      </c>
      <c r="R21"/>
      <c r="T21" s="15"/>
    </row>
    <row r="22" spans="2:55" s="40" customFormat="1" ht="12.75" customHeight="1" thickTop="1" thickBot="1">
      <c r="B22" s="172"/>
      <c r="C22" s="10"/>
      <c r="E22" s="2008" t="str">
        <f>IF(H22="","Input Vacancy Rate (%)","Vacancy Rate (%)")</f>
        <v>Input Vacancy Rate (%)</v>
      </c>
      <c r="F22" s="2008"/>
      <c r="G22" s="2009"/>
      <c r="H22" s="850"/>
      <c r="I22" s="591"/>
      <c r="J22" s="592"/>
      <c r="K22" s="1995"/>
      <c r="L22" s="1987"/>
      <c r="M22" s="1987"/>
      <c r="N22" s="1987"/>
      <c r="O22" s="1987"/>
      <c r="P22" s="1987"/>
      <c r="Q22" s="2013"/>
      <c r="R22"/>
      <c r="S22" s="10"/>
      <c r="T22" s="79"/>
      <c r="U22" s="167"/>
      <c r="V22" s="8"/>
      <c r="W22" s="8"/>
      <c r="X22" s="376"/>
      <c r="Y22" s="14"/>
      <c r="Z22" s="8"/>
      <c r="AA22" s="8"/>
      <c r="AB22" s="8"/>
      <c r="AC22" s="8"/>
      <c r="AD22" s="8"/>
      <c r="AE22" s="8"/>
      <c r="AF22" s="8"/>
      <c r="AG22" s="8"/>
      <c r="AH22" s="8"/>
      <c r="AI22" s="8"/>
      <c r="AJ22" s="8"/>
      <c r="AK22" s="8"/>
      <c r="AL22" s="8"/>
      <c r="AM22" s="8"/>
    </row>
    <row r="23" spans="2:55" s="40" customFormat="1" ht="1.5" customHeight="1" thickTop="1" thickBot="1">
      <c r="D23" s="10"/>
      <c r="E23" s="10"/>
      <c r="F23" s="10"/>
      <c r="G23" s="10"/>
      <c r="H23" s="10"/>
      <c r="I23" s="10"/>
      <c r="K23" s="1995"/>
      <c r="L23" s="2000"/>
      <c r="M23" s="2000"/>
      <c r="N23" s="2000"/>
      <c r="O23" s="2000"/>
      <c r="P23" s="2000"/>
      <c r="Q23" s="2014"/>
      <c r="R23"/>
      <c r="T23" s="15"/>
    </row>
    <row r="24" spans="2:55" s="40" customFormat="1" ht="13.5" customHeight="1" thickTop="1" thickBot="1">
      <c r="B24" s="172"/>
      <c r="C24" s="10"/>
      <c r="D24" s="1863" t="s">
        <v>911</v>
      </c>
      <c r="E24" s="1863"/>
      <c r="F24" s="1863"/>
      <c r="G24" s="1863"/>
      <c r="H24" s="1863"/>
      <c r="I24" s="1863"/>
      <c r="J24" s="590"/>
      <c r="K24" s="975">
        <f>K20-K21</f>
        <v>0</v>
      </c>
      <c r="L24" s="976">
        <f t="shared" ref="L24:Q24" si="2">L20-L21</f>
        <v>0</v>
      </c>
      <c r="M24" s="976">
        <f t="shared" si="2"/>
        <v>0</v>
      </c>
      <c r="N24" s="976">
        <f t="shared" si="2"/>
        <v>0</v>
      </c>
      <c r="O24" s="976">
        <f t="shared" si="2"/>
        <v>0</v>
      </c>
      <c r="P24" s="976">
        <f t="shared" si="2"/>
        <v>0</v>
      </c>
      <c r="Q24" s="981">
        <f t="shared" si="2"/>
        <v>0</v>
      </c>
      <c r="R24"/>
      <c r="S24" s="10"/>
      <c r="T24" s="79"/>
      <c r="U24" s="167"/>
      <c r="V24" s="8"/>
      <c r="W24" s="8"/>
      <c r="X24" s="376"/>
      <c r="Y24" s="14"/>
      <c r="Z24" s="8"/>
      <c r="AA24" s="8"/>
      <c r="AB24" s="8"/>
      <c r="AC24" s="8"/>
      <c r="AD24" s="8"/>
      <c r="AE24" s="8"/>
      <c r="AF24" s="8"/>
      <c r="AG24" s="8"/>
      <c r="AH24" s="8"/>
      <c r="AI24" s="8"/>
      <c r="AJ24" s="8"/>
      <c r="AK24" s="8"/>
      <c r="AL24" s="8"/>
      <c r="AM24" s="8"/>
    </row>
    <row r="25" spans="2:55" ht="24" customHeight="1" thickTop="1">
      <c r="C25" s="431"/>
      <c r="D25" s="1980" t="s">
        <v>810</v>
      </c>
      <c r="E25" s="1980"/>
      <c r="F25" s="1980"/>
      <c r="G25" s="1980"/>
      <c r="H25" s="1980"/>
      <c r="I25" s="431"/>
      <c r="J25" s="267"/>
      <c r="K25" s="277"/>
      <c r="L25" s="277"/>
      <c r="M25" s="277"/>
      <c r="N25" s="277"/>
      <c r="O25" s="277"/>
      <c r="P25" s="277"/>
      <c r="Q25" s="277"/>
      <c r="S25" s="13"/>
      <c r="T25" s="79"/>
      <c r="U25" s="265"/>
      <c r="V25" s="39"/>
      <c r="W25" s="39"/>
      <c r="X25" s="15"/>
      <c r="Y25" s="15"/>
      <c r="Z25" s="15"/>
      <c r="AA25" s="15"/>
      <c r="AB25" s="15"/>
      <c r="AC25" s="15"/>
      <c r="AD25" s="2002" t="s">
        <v>923</v>
      </c>
      <c r="AE25" s="2004" t="s">
        <v>925</v>
      </c>
      <c r="AF25" s="15"/>
      <c r="AG25" s="39"/>
      <c r="AH25" s="39"/>
      <c r="AI25" s="39"/>
      <c r="AJ25" s="39"/>
      <c r="AK25" s="1999" t="s">
        <v>927</v>
      </c>
      <c r="AL25" s="7"/>
      <c r="AM25" s="1998" t="s">
        <v>926</v>
      </c>
      <c r="AN25" s="1999" t="s">
        <v>928</v>
      </c>
    </row>
    <row r="26" spans="2:55" s="40" customFormat="1" ht="13.5" customHeight="1">
      <c r="B26" s="172"/>
      <c r="C26" s="10"/>
      <c r="D26" s="1858" t="s">
        <v>38</v>
      </c>
      <c r="E26" s="1858"/>
      <c r="F26" s="1858"/>
      <c r="G26" s="1858"/>
      <c r="H26" s="1858"/>
      <c r="I26" s="42"/>
      <c r="J26" s="588"/>
      <c r="K26" s="749"/>
      <c r="L26" s="733"/>
      <c r="M26" s="733"/>
      <c r="N26" s="733"/>
      <c r="O26" s="733"/>
      <c r="P26" s="733"/>
      <c r="Q26" s="734"/>
      <c r="R26"/>
      <c r="S26" s="10"/>
      <c r="T26" s="79"/>
      <c r="U26" s="167"/>
      <c r="V26" s="8"/>
      <c r="W26" s="8"/>
      <c r="X26" s="376"/>
      <c r="Y26" s="14"/>
      <c r="Z26" s="8"/>
      <c r="AA26" s="8"/>
      <c r="AB26" s="8"/>
      <c r="AC26" s="8"/>
      <c r="AD26" s="2002"/>
      <c r="AE26" s="2004"/>
      <c r="AF26" s="8"/>
      <c r="AG26" s="8"/>
      <c r="AH26" s="8"/>
      <c r="AI26" s="8"/>
      <c r="AJ26" s="8"/>
      <c r="AK26" s="1999"/>
      <c r="AL26" s="8"/>
      <c r="AM26" s="1998"/>
      <c r="AN26" s="1999"/>
    </row>
    <row r="27" spans="2:55" ht="3.75" customHeight="1">
      <c r="B27" s="15"/>
      <c r="K27" s="91"/>
      <c r="L27" s="91"/>
      <c r="M27" s="91"/>
      <c r="N27" s="91"/>
      <c r="O27" s="91"/>
      <c r="P27" s="91"/>
      <c r="Q27" s="91"/>
      <c r="T27" s="15"/>
      <c r="U27" s="15"/>
      <c r="V27" s="15"/>
      <c r="W27" s="15"/>
      <c r="X27" s="15"/>
      <c r="Y27" s="15"/>
      <c r="Z27" s="15"/>
      <c r="AA27" s="15"/>
      <c r="AB27" s="15"/>
      <c r="AC27" s="15"/>
      <c r="AD27" s="2002"/>
      <c r="AE27" s="2004"/>
      <c r="AF27" s="15"/>
      <c r="AG27" s="15"/>
      <c r="AH27" s="15"/>
      <c r="AI27" s="15"/>
      <c r="AJ27" s="15"/>
      <c r="AK27" s="1999"/>
      <c r="AM27" s="1998"/>
      <c r="AN27" s="1999"/>
    </row>
    <row r="28" spans="2:55" ht="14.25" customHeight="1">
      <c r="C28" s="431"/>
      <c r="E28" s="1221"/>
      <c r="F28" s="1221"/>
      <c r="G28" s="1221"/>
      <c r="H28" s="1221"/>
      <c r="I28" s="431"/>
      <c r="J28" s="267"/>
      <c r="K28" s="2006" t="s">
        <v>1</v>
      </c>
      <c r="L28" s="2006"/>
      <c r="M28" s="277"/>
      <c r="N28" s="277"/>
      <c r="O28" s="277"/>
      <c r="P28" s="277"/>
      <c r="Q28" s="277"/>
      <c r="S28" s="13"/>
      <c r="T28" s="79"/>
      <c r="U28" s="265"/>
      <c r="V28" s="39"/>
      <c r="W28" s="39"/>
      <c r="X28" s="15"/>
      <c r="Y28" s="15"/>
      <c r="Z28" s="110"/>
      <c r="AA28" s="270" t="s">
        <v>27</v>
      </c>
      <c r="AB28" s="270" t="s">
        <v>28</v>
      </c>
      <c r="AC28" s="270"/>
      <c r="AD28" s="2003"/>
      <c r="AE28" s="2005"/>
      <c r="AF28" s="110" t="s">
        <v>924</v>
      </c>
      <c r="AG28" s="2001" t="s">
        <v>919</v>
      </c>
      <c r="AH28" s="2001"/>
      <c r="AI28" s="2001"/>
      <c r="AJ28" s="2001"/>
      <c r="AK28" s="1999"/>
      <c r="AL28" s="39"/>
      <c r="AM28" s="1998"/>
      <c r="AN28" s="1999"/>
      <c r="AO28" s="7"/>
    </row>
    <row r="29" spans="2:55" s="40" customFormat="1" ht="13.5" customHeight="1">
      <c r="B29" s="172"/>
      <c r="C29" s="10"/>
      <c r="D29" s="1858" t="s">
        <v>2</v>
      </c>
      <c r="E29" s="1858"/>
      <c r="F29" s="1858"/>
      <c r="G29" s="1858"/>
      <c r="H29" s="1858"/>
      <c r="I29" s="168"/>
      <c r="J29" s="588"/>
      <c r="K29" s="750"/>
      <c r="L29" s="721"/>
      <c r="M29" s="721"/>
      <c r="N29" s="721"/>
      <c r="O29" s="721"/>
      <c r="P29" s="721"/>
      <c r="Q29" s="722"/>
      <c r="R29"/>
      <c r="S29" s="10"/>
      <c r="T29" s="74"/>
      <c r="U29" s="167"/>
      <c r="V29" s="8"/>
      <c r="W29" s="8"/>
      <c r="X29" s="647">
        <f>IF(AV29&gt;$AY$29,0,AX29)</f>
        <v>0</v>
      </c>
      <c r="Y29" s="94">
        <f>IF(AP29&gt;$AS$29,0,AR29)</f>
        <v>0</v>
      </c>
      <c r="Z29" s="271">
        <f t="shared" ref="Z29:Z43" si="3">IF(AG29&gt;$AJ$29,0,AI29)</f>
        <v>0</v>
      </c>
      <c r="AA29" s="94">
        <f>'A(1)-Sources Stmt.'!D35</f>
        <v>0</v>
      </c>
      <c r="AB29" s="94">
        <f>'A(1)-Sources Stmt.'!G35</f>
        <v>0</v>
      </c>
      <c r="AC29" s="94">
        <f>'A(1)-Sources Stmt.'!J35</f>
        <v>0</v>
      </c>
      <c r="AD29" s="95">
        <f>IF(AND('A(1)-Sources Stmt.'!P35&gt;0,'A(1)-Sources Stmt.'!P35&lt;&gt;""),ROUND('A(1)-Sources Stmt.'!P35,0),0)</f>
        <v>0</v>
      </c>
      <c r="AE29" s="528">
        <f>'A(1)-Sources Stmt.'!O35</f>
        <v>0</v>
      </c>
      <c r="AF29" s="95" t="b">
        <f>IF(AND(AB29="Permanent Loan",AC29="Conventional"),ROUND(AD29*AE29,0))</f>
        <v>0</v>
      </c>
      <c r="AG29" s="272">
        <f>IF(AND(AF29&lt;&gt;"",AF29&gt;0,AE29&gt;0,AC29="Conventional"),1,$AJ$29+1)</f>
        <v>1</v>
      </c>
      <c r="AH29" s="272">
        <f>IF(AND(AE29&gt;0,AC29="Conventional"),SUMPRODUCT(--(AA29&gt;$AA$29:$AA$43)*BC29),0)</f>
        <v>0</v>
      </c>
      <c r="AI29" s="272">
        <f>IF(AND(AE29&gt;0,AC29="Conventional"),RANK(AH29,$AH$29:$AH$43),0)</f>
        <v>0</v>
      </c>
      <c r="AJ29" s="530">
        <f>COUNTIFS(AI29:AI43,"&gt;0",AC29:AC43,"Conventional")</f>
        <v>0</v>
      </c>
      <c r="AK29" s="275">
        <f>IFERROR(ROUND(AD29*AE29,0),"")</f>
        <v>0</v>
      </c>
      <c r="AL29" s="529"/>
      <c r="AM29" s="275" t="str">
        <f>IF('A(1)-Sources Stmt.'!Q35&lt;&gt;"",'A(1)-Sources Stmt.'!Q35,"")</f>
        <v/>
      </c>
      <c r="AN29" s="379" t="str">
        <f>IFERROR(AM29*AE29,"")</f>
        <v/>
      </c>
      <c r="AO29" s="8" t="b">
        <f>IF(AND(AB29="Permanent Loan",AC29="Other",AE29&gt;0),AN29)</f>
        <v>0</v>
      </c>
      <c r="AP29" s="8">
        <f>IF(AND(AO29&lt;&gt;"",AF29&gt;0,AE29&gt;0,AC29="Other"),1,$AS$29+1)</f>
        <v>1</v>
      </c>
      <c r="AQ29" s="8">
        <f>IF(AND(AE29&gt;0,AC29="Other",AM29&lt;&gt;""),SUMPRODUCT(--(AA29&gt;$AA$29:$AA$43)*BC29),0)</f>
        <v>0</v>
      </c>
      <c r="AR29" s="40">
        <f>IF(AND(AE29&gt;0,AC29="Other"),RANK(AQ29,$AQ$29:$AQ$43),0)</f>
        <v>0</v>
      </c>
      <c r="AS29" s="40">
        <f>COUNTIFS(AR29:AR43,"&gt;0",AC29:AC43,"Other")</f>
        <v>0</v>
      </c>
      <c r="AT29" s="40">
        <f>IF(AND(AE29&gt;0,AC29="Other"),COUNTIF($AA$29:$AA$43,"&lt;"&amp;AA29)+1,0)</f>
        <v>0</v>
      </c>
      <c r="AU29" s="40" t="b">
        <f>IF(AND(AB29="Permanent Loan",AC29="Cash Flow",AE29&gt;0),AN29)</f>
        <v>0</v>
      </c>
      <c r="AV29" s="40">
        <f>IF(AND(AU29&lt;&gt;"",AE29&gt;0,AA29&gt;0,AC29="Cash Flow"),1,$AZ$29+1)</f>
        <v>1</v>
      </c>
      <c r="AW29" s="40">
        <f>IF(AND(AE29&gt;0,AC29="Cash Flow",AM29&lt;&gt;""),SUMPRODUCT(--(AA29&gt;$AA$29:$AA$43)*BC29),0)</f>
        <v>0</v>
      </c>
      <c r="AX29" s="40">
        <f>IF(AND(AE29&gt;0,AC29="Cash Flow"),RANK(AW29,$AW$29:$AW$43),0)</f>
        <v>0</v>
      </c>
      <c r="AY29" s="40">
        <f>COUNTIFS(AX29:AX43,"&gt;0",AC29:AC43,"Cash Flow")</f>
        <v>0</v>
      </c>
      <c r="AZ29" s="40">
        <f>IF(AND(AE29&gt;0,AC29="Cash Flow"),COUNTIF($AA$29:$AA$43,"&lt;"&amp;AA29)+1,0)</f>
        <v>0</v>
      </c>
      <c r="BC29" s="40">
        <v>0.01</v>
      </c>
    </row>
    <row r="30" spans="2:55" s="40" customFormat="1" ht="13.5" customHeight="1">
      <c r="B30" s="172"/>
      <c r="C30" s="10"/>
      <c r="D30" s="1858" t="s">
        <v>52</v>
      </c>
      <c r="E30" s="1858"/>
      <c r="F30" s="1858"/>
      <c r="G30" s="1858"/>
      <c r="H30" s="1858"/>
      <c r="I30" s="168"/>
      <c r="J30" s="588"/>
      <c r="K30" s="726"/>
      <c r="L30" s="727"/>
      <c r="M30" s="727"/>
      <c r="N30" s="727"/>
      <c r="O30" s="727"/>
      <c r="P30" s="727"/>
      <c r="Q30" s="728"/>
      <c r="R30"/>
      <c r="S30" s="10"/>
      <c r="T30" s="74"/>
      <c r="U30" s="167"/>
      <c r="V30" s="8"/>
      <c r="W30" s="8"/>
      <c r="X30" s="647">
        <f t="shared" ref="X30:X43" si="4">IF(AV30&gt;$AY$29,0,AX30)</f>
        <v>0</v>
      </c>
      <c r="Y30" s="94">
        <f>IF(AP30&gt;$AS$29,0,AR30)</f>
        <v>0</v>
      </c>
      <c r="Z30" s="271">
        <f>IF(AG30&gt;$AJ$29,0,AI30)</f>
        <v>0</v>
      </c>
      <c r="AA30" s="94">
        <f>'A(1)-Sources Stmt.'!D36</f>
        <v>0</v>
      </c>
      <c r="AB30" s="94">
        <f>'A(1)-Sources Stmt.'!G36</f>
        <v>0</v>
      </c>
      <c r="AC30" s="94">
        <f>'A(1)-Sources Stmt.'!J36</f>
        <v>0</v>
      </c>
      <c r="AD30" s="95">
        <f>IF(AND('A(1)-Sources Stmt.'!P36&gt;0,'A(1)-Sources Stmt.'!P36&lt;&gt;""),ROUND('A(1)-Sources Stmt.'!P36,0),0)</f>
        <v>0</v>
      </c>
      <c r="AE30" s="528">
        <f>'A(1)-Sources Stmt.'!O36</f>
        <v>0</v>
      </c>
      <c r="AF30" s="95" t="b">
        <f t="shared" ref="AF30:AF43" si="5">IF(AND(AB30="Permanent Loan",AC30="Conventional"),ROUND(AD30*AE30,0))</f>
        <v>0</v>
      </c>
      <c r="AG30" s="957">
        <f t="shared" ref="AG30:AG43" si="6">IF(AND(AF30&lt;&gt;"",AF30&gt;0,AE30&gt;0,AC30="Conventional"),1,$AJ$29+1)</f>
        <v>1</v>
      </c>
      <c r="AH30" s="957">
        <f t="shared" ref="AH30:AH43" si="7">IF(AND(AE30&gt;0,AC30="Conventional"),SUMPRODUCT(--(AA30&gt;$AA$29:$AA$43)*BC30),0)</f>
        <v>0</v>
      </c>
      <c r="AI30" s="957">
        <f t="shared" ref="AI30:AI43" si="8">IF(AND(AE30&gt;0,AC30="Conventional"),RANK(AH30,$AH$29:$AH$43),0)</f>
        <v>0</v>
      </c>
      <c r="AJ30" s="273"/>
      <c r="AK30" s="275">
        <f t="shared" ref="AK30:AK43" si="9">IFERROR(ROUND(AD30*AE30,0),"")</f>
        <v>0</v>
      </c>
      <c r="AL30" s="529"/>
      <c r="AM30" s="275" t="str">
        <f>IF('A(1)-Sources Stmt.'!Q36&lt;&gt;"",'A(1)-Sources Stmt.'!Q36,"")</f>
        <v/>
      </c>
      <c r="AN30" s="379" t="str">
        <f t="shared" ref="AN30:AN43" si="10">IFERROR(AM30*AE30,"")</f>
        <v/>
      </c>
      <c r="AO30" s="8" t="b">
        <f t="shared" ref="AO30:AO43" si="11">IF(AND(AB30="Permanent Loan",AC30="Other",AE30&gt;0),AN30)</f>
        <v>0</v>
      </c>
      <c r="AP30" s="40">
        <f t="shared" ref="AP30:AP43" si="12">IF(AND(AO30&lt;&gt;"",AF30&gt;0,AE30&gt;0,AC30="Other"),1,$AS$29+1)</f>
        <v>1</v>
      </c>
      <c r="AQ30" s="955">
        <f t="shared" ref="AQ30:AQ43" si="13">IF(AND(AE30&gt;0,AC30="Other",AM30&lt;&gt;""),SUMPRODUCT(--(AA30&gt;$AA$29:$AA$43)*BC30),0)</f>
        <v>0</v>
      </c>
      <c r="AR30" s="956">
        <f t="shared" ref="AR30:AR43" si="14">IF(AND(AE30&gt;0,AC30="Other"),RANK(AQ30,$AQ$29:$AQ$43),0)</f>
        <v>0</v>
      </c>
      <c r="AT30" s="40">
        <f>IF(AND(AE30&gt;0,AC30="Other"),COUNTIF($AA$29:$AA$43,"&lt;"&amp;AA30)+1,0)</f>
        <v>0</v>
      </c>
      <c r="AU30" s="40" t="b">
        <f t="shared" ref="AU30:AU43" si="15">IF(AND(AB30="Permanent Loan",AC30="Cash Flow",AE30&gt;0),AN30)</f>
        <v>0</v>
      </c>
      <c r="AV30" s="956">
        <f t="shared" ref="AV30:AV43" si="16">IF(AND(AU30&lt;&gt;"",AE30&gt;0,AA30&gt;0,AC30="Cash Flow"),1,$AZ$29+1)</f>
        <v>1</v>
      </c>
      <c r="AW30" s="956">
        <f t="shared" ref="AW30:AW43" si="17">IF(AND(AE30&gt;0,AC30="Cash Flow",AM30&lt;&gt;""),SUMPRODUCT(--(AA30&gt;$AA$29:$AA$43)*BC30),0)</f>
        <v>0</v>
      </c>
      <c r="AX30" s="40">
        <f t="shared" ref="AX30:AX43" si="18">IF(AND(AE30&gt;0,AC30="Cash Flow"),RANK(AW30,$AW$29:$AW$43),0)</f>
        <v>0</v>
      </c>
      <c r="AZ30" s="40">
        <f>IF(AND(AE30&gt;0,AC30="Cash Flow"),COUNTIF($AA$29:$AA$43,"&lt;"&amp;AA30)+1,0)</f>
        <v>0</v>
      </c>
      <c r="BC30" s="40">
        <v>0.02</v>
      </c>
    </row>
    <row r="31" spans="2:55" s="40" customFormat="1" ht="13.5" customHeight="1">
      <c r="B31" s="172"/>
      <c r="C31" s="10"/>
      <c r="D31" s="1858" t="s">
        <v>53</v>
      </c>
      <c r="E31" s="1858"/>
      <c r="F31" s="1858"/>
      <c r="G31" s="1858"/>
      <c r="H31" s="1858"/>
      <c r="I31" s="168"/>
      <c r="J31" s="588"/>
      <c r="K31" s="726"/>
      <c r="L31" s="727"/>
      <c r="M31" s="727"/>
      <c r="N31" s="727"/>
      <c r="O31" s="727"/>
      <c r="P31" s="727"/>
      <c r="Q31" s="728"/>
      <c r="R31"/>
      <c r="S31" s="10"/>
      <c r="T31" s="74"/>
      <c r="U31" s="167"/>
      <c r="V31" s="8"/>
      <c r="W31" s="8"/>
      <c r="X31" s="647">
        <f t="shared" si="4"/>
        <v>0</v>
      </c>
      <c r="Y31" s="94">
        <f t="shared" ref="Y31:Y43" si="19">IF(AP31&gt;$AS$29,0,AR31)</f>
        <v>0</v>
      </c>
      <c r="Z31" s="271">
        <f t="shared" si="3"/>
        <v>0</v>
      </c>
      <c r="AA31" s="94">
        <f>'A(1)-Sources Stmt.'!D37</f>
        <v>0</v>
      </c>
      <c r="AB31" s="94">
        <f>'A(1)-Sources Stmt.'!G37</f>
        <v>0</v>
      </c>
      <c r="AC31" s="94">
        <f>'A(1)-Sources Stmt.'!J37</f>
        <v>0</v>
      </c>
      <c r="AD31" s="95">
        <f>IF(AND('A(1)-Sources Stmt.'!P37&gt;0,'A(1)-Sources Stmt.'!P37&lt;&gt;""),ROUND('A(1)-Sources Stmt.'!P37,0),0)</f>
        <v>0</v>
      </c>
      <c r="AE31" s="528">
        <f>'A(1)-Sources Stmt.'!O37</f>
        <v>0</v>
      </c>
      <c r="AF31" s="95" t="b">
        <f t="shared" si="5"/>
        <v>0</v>
      </c>
      <c r="AG31" s="957">
        <f t="shared" si="6"/>
        <v>1</v>
      </c>
      <c r="AH31" s="957">
        <f t="shared" si="7"/>
        <v>0</v>
      </c>
      <c r="AI31" s="957">
        <f t="shared" si="8"/>
        <v>0</v>
      </c>
      <c r="AJ31" s="273"/>
      <c r="AK31" s="275">
        <f t="shared" si="9"/>
        <v>0</v>
      </c>
      <c r="AL31" s="529"/>
      <c r="AM31" s="275" t="str">
        <f>IF('A(1)-Sources Stmt.'!Q37&lt;&gt;"",'A(1)-Sources Stmt.'!Q37,"")</f>
        <v/>
      </c>
      <c r="AN31" s="379" t="str">
        <f t="shared" si="10"/>
        <v/>
      </c>
      <c r="AO31" s="8" t="b">
        <f t="shared" si="11"/>
        <v>0</v>
      </c>
      <c r="AP31" s="40">
        <f t="shared" si="12"/>
        <v>1</v>
      </c>
      <c r="AQ31" s="955">
        <f t="shared" si="13"/>
        <v>0</v>
      </c>
      <c r="AR31" s="956">
        <f t="shared" si="14"/>
        <v>0</v>
      </c>
      <c r="AT31" s="40">
        <f t="shared" ref="AT31:AT43" si="20">IF(AND(AE31&gt;0,AC31="Other"),COUNTIF($AA$29:$AA$43,"&lt;"&amp;AA31)+1,0)</f>
        <v>0</v>
      </c>
      <c r="AU31" s="40" t="b">
        <f t="shared" si="15"/>
        <v>0</v>
      </c>
      <c r="AV31" s="956">
        <f t="shared" si="16"/>
        <v>1</v>
      </c>
      <c r="AW31" s="956">
        <f t="shared" si="17"/>
        <v>0</v>
      </c>
      <c r="AX31" s="40">
        <f t="shared" si="18"/>
        <v>0</v>
      </c>
      <c r="AZ31" s="40">
        <f t="shared" ref="AZ31:AZ43" si="21">IF(AND(AE31&gt;0,AC31="Cash Flow"),COUNTIF($AA$29:$AA$43,"&lt;"&amp;AA31)+1,0)</f>
        <v>0</v>
      </c>
      <c r="BC31" s="40">
        <v>0.03</v>
      </c>
    </row>
    <row r="32" spans="2:55" s="40" customFormat="1" ht="13.5" customHeight="1">
      <c r="B32" s="172"/>
      <c r="C32" s="10"/>
      <c r="D32" s="1858" t="s">
        <v>54</v>
      </c>
      <c r="E32" s="1858"/>
      <c r="F32" s="1858"/>
      <c r="G32" s="1858"/>
      <c r="H32" s="1858"/>
      <c r="I32" s="168"/>
      <c r="J32" s="588"/>
      <c r="K32" s="726"/>
      <c r="L32" s="727"/>
      <c r="M32" s="727"/>
      <c r="N32" s="727"/>
      <c r="O32" s="727"/>
      <c r="P32" s="727"/>
      <c r="Q32" s="728"/>
      <c r="R32"/>
      <c r="S32" s="10"/>
      <c r="T32" s="74"/>
      <c r="U32" s="167"/>
      <c r="V32" s="8"/>
      <c r="W32" s="377"/>
      <c r="X32" s="647">
        <f t="shared" si="4"/>
        <v>0</v>
      </c>
      <c r="Y32" s="94">
        <f t="shared" si="19"/>
        <v>0</v>
      </c>
      <c r="Z32" s="271">
        <f t="shared" si="3"/>
        <v>0</v>
      </c>
      <c r="AA32" s="94">
        <f>'A(1)-Sources Stmt.'!D38</f>
        <v>0</v>
      </c>
      <c r="AB32" s="94">
        <f>'A(1)-Sources Stmt.'!G38</f>
        <v>0</v>
      </c>
      <c r="AC32" s="94">
        <f>'A(1)-Sources Stmt.'!J38</f>
        <v>0</v>
      </c>
      <c r="AD32" s="95">
        <f>IF(AND('A(1)-Sources Stmt.'!P38&gt;0,'A(1)-Sources Stmt.'!P38&lt;&gt;""),ROUND('A(1)-Sources Stmt.'!P38,0),0)</f>
        <v>0</v>
      </c>
      <c r="AE32" s="528">
        <f>'A(1)-Sources Stmt.'!O38</f>
        <v>0</v>
      </c>
      <c r="AF32" s="95" t="b">
        <f t="shared" si="5"/>
        <v>0</v>
      </c>
      <c r="AG32" s="957">
        <f t="shared" si="6"/>
        <v>1</v>
      </c>
      <c r="AH32" s="957">
        <f t="shared" si="7"/>
        <v>0</v>
      </c>
      <c r="AI32" s="957">
        <f t="shared" si="8"/>
        <v>0</v>
      </c>
      <c r="AJ32" s="273"/>
      <c r="AK32" s="275">
        <f t="shared" si="9"/>
        <v>0</v>
      </c>
      <c r="AL32" s="529"/>
      <c r="AM32" s="275" t="str">
        <f>IF('A(1)-Sources Stmt.'!Q38&lt;&gt;"",'A(1)-Sources Stmt.'!Q38,"")</f>
        <v/>
      </c>
      <c r="AN32" s="379" t="str">
        <f t="shared" si="10"/>
        <v/>
      </c>
      <c r="AO32" s="8" t="b">
        <f t="shared" si="11"/>
        <v>0</v>
      </c>
      <c r="AP32" s="40">
        <f t="shared" si="12"/>
        <v>1</v>
      </c>
      <c r="AQ32" s="955">
        <f t="shared" si="13"/>
        <v>0</v>
      </c>
      <c r="AR32" s="956">
        <f t="shared" si="14"/>
        <v>0</v>
      </c>
      <c r="AT32" s="40">
        <f t="shared" si="20"/>
        <v>0</v>
      </c>
      <c r="AU32" s="40" t="b">
        <f t="shared" si="15"/>
        <v>0</v>
      </c>
      <c r="AV32" s="956">
        <f t="shared" si="16"/>
        <v>1</v>
      </c>
      <c r="AW32" s="956">
        <f t="shared" si="17"/>
        <v>0</v>
      </c>
      <c r="AX32" s="40">
        <f t="shared" si="18"/>
        <v>0</v>
      </c>
      <c r="AZ32" s="40">
        <f t="shared" si="21"/>
        <v>0</v>
      </c>
      <c r="BC32" s="40">
        <v>0.04</v>
      </c>
    </row>
    <row r="33" spans="1:55" s="40" customFormat="1" ht="13.5" customHeight="1">
      <c r="B33" s="172"/>
      <c r="C33" s="10"/>
      <c r="D33" s="1858" t="s">
        <v>37</v>
      </c>
      <c r="E33" s="1858"/>
      <c r="F33" s="1858"/>
      <c r="G33" s="1858"/>
      <c r="H33" s="1858"/>
      <c r="I33" s="168"/>
      <c r="J33" s="588"/>
      <c r="K33" s="726"/>
      <c r="L33" s="727"/>
      <c r="M33" s="727"/>
      <c r="N33" s="727"/>
      <c r="O33" s="727"/>
      <c r="P33" s="727"/>
      <c r="Q33" s="728"/>
      <c r="R33"/>
      <c r="S33" s="10"/>
      <c r="T33" s="74"/>
      <c r="U33" s="167"/>
      <c r="V33" s="8"/>
      <c r="W33" s="377"/>
      <c r="X33" s="647">
        <f>IF(AV33&gt;$AY$29,0,AX33)</f>
        <v>0</v>
      </c>
      <c r="Y33" s="94">
        <f t="shared" si="19"/>
        <v>0</v>
      </c>
      <c r="Z33" s="271">
        <f t="shared" si="3"/>
        <v>0</v>
      </c>
      <c r="AA33" s="94">
        <f>'A(1)-Sources Stmt.'!D39</f>
        <v>0</v>
      </c>
      <c r="AB33" s="94">
        <f>'A(1)-Sources Stmt.'!G39</f>
        <v>0</v>
      </c>
      <c r="AC33" s="94">
        <f>'A(1)-Sources Stmt.'!J39</f>
        <v>0</v>
      </c>
      <c r="AD33" s="95">
        <f>IF(AND('A(1)-Sources Stmt.'!P39&gt;0,'A(1)-Sources Stmt.'!P39&lt;&gt;""),ROUND('A(1)-Sources Stmt.'!P39,0),0)</f>
        <v>0</v>
      </c>
      <c r="AE33" s="528">
        <f>'A(1)-Sources Stmt.'!O39</f>
        <v>0</v>
      </c>
      <c r="AF33" s="95" t="b">
        <f t="shared" si="5"/>
        <v>0</v>
      </c>
      <c r="AG33" s="957">
        <f t="shared" si="6"/>
        <v>1</v>
      </c>
      <c r="AH33" s="957">
        <f t="shared" si="7"/>
        <v>0</v>
      </c>
      <c r="AI33" s="957">
        <f t="shared" si="8"/>
        <v>0</v>
      </c>
      <c r="AJ33" s="273"/>
      <c r="AK33" s="275">
        <f t="shared" si="9"/>
        <v>0</v>
      </c>
      <c r="AL33" s="529"/>
      <c r="AM33" s="275" t="str">
        <f>IF('A(1)-Sources Stmt.'!Q39&lt;&gt;"",'A(1)-Sources Stmt.'!Q39,"")</f>
        <v/>
      </c>
      <c r="AN33" s="379" t="str">
        <f t="shared" si="10"/>
        <v/>
      </c>
      <c r="AO33" s="8" t="b">
        <f t="shared" si="11"/>
        <v>0</v>
      </c>
      <c r="AP33" s="40">
        <f t="shared" si="12"/>
        <v>1</v>
      </c>
      <c r="AQ33" s="955">
        <f t="shared" si="13"/>
        <v>0</v>
      </c>
      <c r="AR33" s="956">
        <f t="shared" si="14"/>
        <v>0</v>
      </c>
      <c r="AT33" s="40">
        <f>IF(AND(AE33&gt;0,AC33="Other"),COUNTIF($AA$29:$AA$43,"&lt;"&amp;AA33)+1,0)</f>
        <v>0</v>
      </c>
      <c r="AU33" s="40" t="b">
        <f t="shared" si="15"/>
        <v>0</v>
      </c>
      <c r="AV33" s="956">
        <f t="shared" si="16"/>
        <v>1</v>
      </c>
      <c r="AW33" s="956">
        <f t="shared" si="17"/>
        <v>0</v>
      </c>
      <c r="AX33" s="40">
        <f t="shared" si="18"/>
        <v>0</v>
      </c>
      <c r="AZ33" s="40">
        <f t="shared" si="21"/>
        <v>0</v>
      </c>
      <c r="BC33" s="40">
        <v>0.05</v>
      </c>
    </row>
    <row r="34" spans="1:55" s="40" customFormat="1" ht="13.5" customHeight="1" thickBot="1">
      <c r="B34" s="172"/>
      <c r="C34" s="10"/>
      <c r="D34" s="1858" t="s">
        <v>55</v>
      </c>
      <c r="E34" s="1858"/>
      <c r="F34" s="1858"/>
      <c r="G34" s="1858"/>
      <c r="H34" s="1858"/>
      <c r="I34" s="168"/>
      <c r="J34" s="588"/>
      <c r="K34" s="729"/>
      <c r="L34" s="730"/>
      <c r="M34" s="730"/>
      <c r="N34" s="730"/>
      <c r="O34" s="730"/>
      <c r="P34" s="730"/>
      <c r="Q34" s="731"/>
      <c r="R34"/>
      <c r="S34" s="10"/>
      <c r="T34" s="74"/>
      <c r="U34" s="167"/>
      <c r="V34" s="8"/>
      <c r="W34" s="377"/>
      <c r="X34" s="647">
        <f>IF(AV34&gt;$AY$29,0,AX34)</f>
        <v>0</v>
      </c>
      <c r="Y34" s="94">
        <f t="shared" si="19"/>
        <v>0</v>
      </c>
      <c r="Z34" s="271">
        <f t="shared" si="3"/>
        <v>0</v>
      </c>
      <c r="AA34" s="94">
        <f>'A(1)-Sources Stmt.'!D40</f>
        <v>0</v>
      </c>
      <c r="AB34" s="94">
        <f>'A(1)-Sources Stmt.'!G40</f>
        <v>0</v>
      </c>
      <c r="AC34" s="94">
        <f>'A(1)-Sources Stmt.'!J40</f>
        <v>0</v>
      </c>
      <c r="AD34" s="95">
        <f>IF(AND('A(1)-Sources Stmt.'!P40&gt;0,'A(1)-Sources Stmt.'!P40&lt;&gt;""),ROUND('A(1)-Sources Stmt.'!P40,0),0)</f>
        <v>0</v>
      </c>
      <c r="AE34" s="528">
        <f>'A(1)-Sources Stmt.'!O40</f>
        <v>0</v>
      </c>
      <c r="AF34" s="95" t="b">
        <f t="shared" si="5"/>
        <v>0</v>
      </c>
      <c r="AG34" s="957">
        <f t="shared" si="6"/>
        <v>1</v>
      </c>
      <c r="AH34" s="957">
        <f t="shared" si="7"/>
        <v>0</v>
      </c>
      <c r="AI34" s="957">
        <f t="shared" si="8"/>
        <v>0</v>
      </c>
      <c r="AJ34" s="273"/>
      <c r="AK34" s="275">
        <f t="shared" si="9"/>
        <v>0</v>
      </c>
      <c r="AL34" s="529"/>
      <c r="AM34" s="275" t="str">
        <f>IF('A(1)-Sources Stmt.'!Q40&lt;&gt;"",'A(1)-Sources Stmt.'!Q40,"")</f>
        <v/>
      </c>
      <c r="AN34" s="379" t="str">
        <f t="shared" si="10"/>
        <v/>
      </c>
      <c r="AO34" s="8" t="b">
        <f t="shared" si="11"/>
        <v>0</v>
      </c>
      <c r="AP34" s="40">
        <f t="shared" si="12"/>
        <v>1</v>
      </c>
      <c r="AQ34" s="955">
        <f t="shared" si="13"/>
        <v>0</v>
      </c>
      <c r="AR34" s="956">
        <f t="shared" si="14"/>
        <v>0</v>
      </c>
      <c r="AT34" s="40">
        <f t="shared" si="20"/>
        <v>0</v>
      </c>
      <c r="AU34" s="40" t="b">
        <f t="shared" si="15"/>
        <v>0</v>
      </c>
      <c r="AV34" s="956">
        <f t="shared" si="16"/>
        <v>1</v>
      </c>
      <c r="AW34" s="956">
        <f t="shared" si="17"/>
        <v>0</v>
      </c>
      <c r="AX34" s="40">
        <f t="shared" si="18"/>
        <v>0</v>
      </c>
      <c r="AZ34" s="40">
        <f t="shared" si="21"/>
        <v>0</v>
      </c>
      <c r="BC34" s="40">
        <v>0.06</v>
      </c>
    </row>
    <row r="35" spans="1:55" s="40" customFormat="1" ht="13.5" customHeight="1" thickTop="1" thickBot="1">
      <c r="B35" s="172"/>
      <c r="C35" s="10"/>
      <c r="D35" s="1863" t="s">
        <v>47</v>
      </c>
      <c r="E35" s="1863"/>
      <c r="F35" s="1863"/>
      <c r="G35" s="1863"/>
      <c r="H35" s="1863"/>
      <c r="I35" s="67"/>
      <c r="J35" s="67"/>
      <c r="K35" s="1049">
        <f>ROUND(SUM(K29:K34),0)</f>
        <v>0</v>
      </c>
      <c r="L35" s="1050">
        <f t="shared" ref="L35:Q35" si="22">ROUND(SUM(L29:L34),0)</f>
        <v>0</v>
      </c>
      <c r="M35" s="1050">
        <f t="shared" si="22"/>
        <v>0</v>
      </c>
      <c r="N35" s="1050">
        <f t="shared" si="22"/>
        <v>0</v>
      </c>
      <c r="O35" s="1050">
        <f t="shared" si="22"/>
        <v>0</v>
      </c>
      <c r="P35" s="1050">
        <f t="shared" si="22"/>
        <v>0</v>
      </c>
      <c r="Q35" s="1051">
        <f t="shared" si="22"/>
        <v>0</v>
      </c>
      <c r="R35"/>
      <c r="S35" s="10"/>
      <c r="T35" s="79"/>
      <c r="U35" s="167"/>
      <c r="V35" s="8"/>
      <c r="W35" s="377"/>
      <c r="X35" s="647">
        <f t="shared" si="4"/>
        <v>0</v>
      </c>
      <c r="Y35" s="94">
        <f t="shared" si="19"/>
        <v>0</v>
      </c>
      <c r="Z35" s="271">
        <f t="shared" si="3"/>
        <v>0</v>
      </c>
      <c r="AA35" s="94">
        <f>'A(1)-Sources Stmt.'!D41</f>
        <v>0</v>
      </c>
      <c r="AB35" s="94">
        <f>'A(1)-Sources Stmt.'!G41</f>
        <v>0</v>
      </c>
      <c r="AC35" s="94">
        <f>'A(1)-Sources Stmt.'!J41</f>
        <v>0</v>
      </c>
      <c r="AD35" s="95">
        <f>IF(AND('A(1)-Sources Stmt.'!P41&gt;0,'A(1)-Sources Stmt.'!P41&lt;&gt;""),ROUND('A(1)-Sources Stmt.'!P41,0),0)</f>
        <v>0</v>
      </c>
      <c r="AE35" s="528">
        <f>'A(1)-Sources Stmt.'!O41</f>
        <v>0</v>
      </c>
      <c r="AF35" s="95" t="b">
        <f t="shared" si="5"/>
        <v>0</v>
      </c>
      <c r="AG35" s="957">
        <f t="shared" si="6"/>
        <v>1</v>
      </c>
      <c r="AH35" s="957">
        <f t="shared" si="7"/>
        <v>0</v>
      </c>
      <c r="AI35" s="957">
        <f t="shared" si="8"/>
        <v>0</v>
      </c>
      <c r="AJ35" s="110"/>
      <c r="AK35" s="275">
        <f t="shared" si="9"/>
        <v>0</v>
      </c>
      <c r="AL35" s="529"/>
      <c r="AM35" s="275" t="str">
        <f>IF('A(1)-Sources Stmt.'!Q41&lt;&gt;"",'A(1)-Sources Stmt.'!Q41,"")</f>
        <v/>
      </c>
      <c r="AN35" s="379" t="str">
        <f t="shared" si="10"/>
        <v/>
      </c>
      <c r="AO35" s="8" t="b">
        <f t="shared" si="11"/>
        <v>0</v>
      </c>
      <c r="AP35" s="40">
        <f t="shared" si="12"/>
        <v>1</v>
      </c>
      <c r="AQ35" s="955">
        <f t="shared" si="13"/>
        <v>0</v>
      </c>
      <c r="AR35" s="956">
        <f t="shared" si="14"/>
        <v>0</v>
      </c>
      <c r="AS35" s="15"/>
      <c r="AT35" s="40">
        <f t="shared" si="20"/>
        <v>0</v>
      </c>
      <c r="AU35" s="40" t="b">
        <f t="shared" si="15"/>
        <v>0</v>
      </c>
      <c r="AV35" s="956">
        <f t="shared" si="16"/>
        <v>1</v>
      </c>
      <c r="AW35" s="956">
        <f t="shared" si="17"/>
        <v>0</v>
      </c>
      <c r="AX35" s="40">
        <f t="shared" si="18"/>
        <v>0</v>
      </c>
      <c r="AY35" s="15"/>
      <c r="AZ35" s="40">
        <f t="shared" si="21"/>
        <v>0</v>
      </c>
      <c r="BC35" s="40">
        <v>7.0000000000000007E-2</v>
      </c>
    </row>
    <row r="36" spans="1:55" s="40" customFormat="1" ht="13.5" customHeight="1" thickTop="1">
      <c r="D36" s="1858" t="s">
        <v>3</v>
      </c>
      <c r="E36" s="1858"/>
      <c r="F36" s="1858"/>
      <c r="G36" s="1858"/>
      <c r="H36" s="1858"/>
      <c r="I36" s="42"/>
      <c r="J36" s="588"/>
      <c r="K36" s="726"/>
      <c r="L36" s="737"/>
      <c r="M36" s="737"/>
      <c r="N36" s="737"/>
      <c r="O36" s="737"/>
      <c r="P36" s="737"/>
      <c r="Q36" s="751"/>
      <c r="R36"/>
      <c r="S36" s="10"/>
      <c r="T36" s="15"/>
      <c r="X36" s="647">
        <f t="shared" si="4"/>
        <v>0</v>
      </c>
      <c r="Y36" s="94">
        <f t="shared" si="19"/>
        <v>0</v>
      </c>
      <c r="Z36" s="271">
        <f t="shared" si="3"/>
        <v>0</v>
      </c>
      <c r="AA36" s="94">
        <f>'A(1)-Sources Stmt.'!D42</f>
        <v>0</v>
      </c>
      <c r="AB36" s="94">
        <f>'A(1)-Sources Stmt.'!G42</f>
        <v>0</v>
      </c>
      <c r="AC36" s="94">
        <f>'A(1)-Sources Stmt.'!J42</f>
        <v>0</v>
      </c>
      <c r="AD36" s="95">
        <f>IF(AND('A(1)-Sources Stmt.'!P42&gt;0,'A(1)-Sources Stmt.'!P42&lt;&gt;""),ROUND('A(1)-Sources Stmt.'!P42,0),0)</f>
        <v>0</v>
      </c>
      <c r="AE36" s="528">
        <f>'A(1)-Sources Stmt.'!O42</f>
        <v>0</v>
      </c>
      <c r="AF36" s="95" t="b">
        <f t="shared" si="5"/>
        <v>0</v>
      </c>
      <c r="AG36" s="957">
        <f t="shared" si="6"/>
        <v>1</v>
      </c>
      <c r="AH36" s="957">
        <f t="shared" si="7"/>
        <v>0</v>
      </c>
      <c r="AI36" s="957">
        <f t="shared" si="8"/>
        <v>0</v>
      </c>
      <c r="AJ36" s="110"/>
      <c r="AK36" s="275">
        <f t="shared" si="9"/>
        <v>0</v>
      </c>
      <c r="AL36" s="529"/>
      <c r="AM36" s="275" t="str">
        <f>IF('A(1)-Sources Stmt.'!Q42&lt;&gt;"",'A(1)-Sources Stmt.'!Q42,"")</f>
        <v/>
      </c>
      <c r="AN36" s="379" t="str">
        <f t="shared" si="10"/>
        <v/>
      </c>
      <c r="AO36" s="8" t="b">
        <f t="shared" si="11"/>
        <v>0</v>
      </c>
      <c r="AP36" s="40">
        <f t="shared" si="12"/>
        <v>1</v>
      </c>
      <c r="AQ36" s="955">
        <f t="shared" si="13"/>
        <v>0</v>
      </c>
      <c r="AR36" s="956">
        <f t="shared" si="14"/>
        <v>0</v>
      </c>
      <c r="AS36" s="15"/>
      <c r="AT36" s="40">
        <f t="shared" si="20"/>
        <v>0</v>
      </c>
      <c r="AU36" s="40" t="b">
        <f t="shared" si="15"/>
        <v>0</v>
      </c>
      <c r="AV36" s="956">
        <f t="shared" si="16"/>
        <v>1</v>
      </c>
      <c r="AW36" s="956">
        <f t="shared" si="17"/>
        <v>0</v>
      </c>
      <c r="AX36" s="40">
        <f t="shared" si="18"/>
        <v>0</v>
      </c>
      <c r="AY36" s="15"/>
      <c r="AZ36" s="40">
        <f t="shared" si="21"/>
        <v>0</v>
      </c>
      <c r="BC36" s="40">
        <v>0.08</v>
      </c>
    </row>
    <row r="37" spans="1:55" s="40" customFormat="1" ht="13.5" customHeight="1">
      <c r="B37" s="172"/>
      <c r="C37" s="10"/>
      <c r="D37" s="1858" t="s">
        <v>4</v>
      </c>
      <c r="E37" s="1858"/>
      <c r="F37" s="1858"/>
      <c r="G37" s="1858"/>
      <c r="H37" s="1858"/>
      <c r="I37" s="42"/>
      <c r="J37" s="588"/>
      <c r="K37" s="726"/>
      <c r="L37" s="727"/>
      <c r="M37" s="727"/>
      <c r="N37" s="727"/>
      <c r="O37" s="727"/>
      <c r="P37" s="727"/>
      <c r="Q37" s="728"/>
      <c r="R37"/>
      <c r="S37" s="10"/>
      <c r="T37" s="79"/>
      <c r="U37" s="167"/>
      <c r="V37" s="8"/>
      <c r="W37" s="377"/>
      <c r="X37" s="647">
        <f t="shared" si="4"/>
        <v>0</v>
      </c>
      <c r="Y37" s="94">
        <f t="shared" si="19"/>
        <v>0</v>
      </c>
      <c r="Z37" s="271">
        <f t="shared" si="3"/>
        <v>0</v>
      </c>
      <c r="AA37" s="94">
        <f>'A(1)-Sources Stmt.'!D43</f>
        <v>0</v>
      </c>
      <c r="AB37" s="94">
        <f>'A(1)-Sources Stmt.'!G43</f>
        <v>0</v>
      </c>
      <c r="AC37" s="94">
        <f>'A(1)-Sources Stmt.'!J43</f>
        <v>0</v>
      </c>
      <c r="AD37" s="95">
        <f>IF(AND('A(1)-Sources Stmt.'!P43&gt;0,'A(1)-Sources Stmt.'!P43&lt;&gt;""),ROUND('A(1)-Sources Stmt.'!P43,0),0)</f>
        <v>0</v>
      </c>
      <c r="AE37" s="528">
        <f>'A(1)-Sources Stmt.'!O43</f>
        <v>0</v>
      </c>
      <c r="AF37" s="95" t="b">
        <f t="shared" si="5"/>
        <v>0</v>
      </c>
      <c r="AG37" s="957">
        <f t="shared" si="6"/>
        <v>1</v>
      </c>
      <c r="AH37" s="957">
        <f t="shared" si="7"/>
        <v>0</v>
      </c>
      <c r="AI37" s="957">
        <f t="shared" si="8"/>
        <v>0</v>
      </c>
      <c r="AJ37" s="110"/>
      <c r="AK37" s="275">
        <f t="shared" si="9"/>
        <v>0</v>
      </c>
      <c r="AL37" s="529"/>
      <c r="AM37" s="275" t="str">
        <f>IF('A(1)-Sources Stmt.'!Q43&lt;&gt;"",'A(1)-Sources Stmt.'!Q43,"")</f>
        <v/>
      </c>
      <c r="AN37" s="379" t="str">
        <f t="shared" si="10"/>
        <v/>
      </c>
      <c r="AO37" s="8" t="b">
        <f t="shared" si="11"/>
        <v>0</v>
      </c>
      <c r="AP37" s="40">
        <f t="shared" si="12"/>
        <v>1</v>
      </c>
      <c r="AQ37" s="955">
        <f t="shared" si="13"/>
        <v>0</v>
      </c>
      <c r="AR37" s="956">
        <f t="shared" si="14"/>
        <v>0</v>
      </c>
      <c r="AS37" s="15"/>
      <c r="AT37" s="40">
        <f t="shared" si="20"/>
        <v>0</v>
      </c>
      <c r="AU37" s="40" t="b">
        <f t="shared" si="15"/>
        <v>0</v>
      </c>
      <c r="AV37" s="956">
        <f t="shared" si="16"/>
        <v>1</v>
      </c>
      <c r="AW37" s="956">
        <f t="shared" si="17"/>
        <v>0</v>
      </c>
      <c r="AX37" s="40">
        <f t="shared" si="18"/>
        <v>0</v>
      </c>
      <c r="AY37" s="15"/>
      <c r="AZ37" s="40">
        <f t="shared" si="21"/>
        <v>0</v>
      </c>
      <c r="BC37" s="40">
        <v>0.09</v>
      </c>
    </row>
    <row r="38" spans="1:55" s="40" customFormat="1" ht="13.5" customHeight="1">
      <c r="B38" s="172"/>
      <c r="C38" s="10"/>
      <c r="D38" s="1858" t="s">
        <v>6</v>
      </c>
      <c r="E38" s="1858"/>
      <c r="F38" s="1858"/>
      <c r="G38" s="1858"/>
      <c r="H38" s="1858"/>
      <c r="I38" s="42"/>
      <c r="J38" s="588"/>
      <c r="K38" s="726"/>
      <c r="L38" s="727"/>
      <c r="M38" s="727"/>
      <c r="N38" s="727"/>
      <c r="O38" s="727"/>
      <c r="P38" s="727"/>
      <c r="Q38" s="728"/>
      <c r="R38"/>
      <c r="S38" s="10"/>
      <c r="T38" s="79"/>
      <c r="U38" s="167"/>
      <c r="V38" s="8"/>
      <c r="W38" s="377"/>
      <c r="X38" s="647">
        <f t="shared" si="4"/>
        <v>0</v>
      </c>
      <c r="Y38" s="94">
        <f t="shared" si="19"/>
        <v>0</v>
      </c>
      <c r="Z38" s="271">
        <f t="shared" si="3"/>
        <v>0</v>
      </c>
      <c r="AA38" s="94">
        <f>'A(1)-Sources Stmt.'!D44</f>
        <v>0</v>
      </c>
      <c r="AB38" s="94">
        <f>'A(1)-Sources Stmt.'!G44</f>
        <v>0</v>
      </c>
      <c r="AC38" s="94">
        <f>'A(1)-Sources Stmt.'!J44</f>
        <v>0</v>
      </c>
      <c r="AD38" s="95">
        <f>IF(AND('A(1)-Sources Stmt.'!P44&gt;0,'A(1)-Sources Stmt.'!P44&lt;&gt;""),ROUND('A(1)-Sources Stmt.'!P44,0),0)</f>
        <v>0</v>
      </c>
      <c r="AE38" s="528">
        <f>'A(1)-Sources Stmt.'!O44</f>
        <v>0</v>
      </c>
      <c r="AF38" s="95" t="b">
        <f t="shared" si="5"/>
        <v>0</v>
      </c>
      <c r="AG38" s="957">
        <f t="shared" si="6"/>
        <v>1</v>
      </c>
      <c r="AH38" s="957">
        <f t="shared" si="7"/>
        <v>0</v>
      </c>
      <c r="AI38" s="957">
        <f t="shared" si="8"/>
        <v>0</v>
      </c>
      <c r="AJ38" s="110"/>
      <c r="AK38" s="275">
        <f t="shared" si="9"/>
        <v>0</v>
      </c>
      <c r="AL38" s="529"/>
      <c r="AM38" s="275" t="str">
        <f>IF('A(1)-Sources Stmt.'!Q44&lt;&gt;"",'A(1)-Sources Stmt.'!Q44,"")</f>
        <v/>
      </c>
      <c r="AN38" s="379" t="str">
        <f t="shared" si="10"/>
        <v/>
      </c>
      <c r="AO38" s="8" t="b">
        <f t="shared" si="11"/>
        <v>0</v>
      </c>
      <c r="AP38" s="40">
        <f t="shared" si="12"/>
        <v>1</v>
      </c>
      <c r="AQ38" s="955">
        <f t="shared" si="13"/>
        <v>0</v>
      </c>
      <c r="AR38" s="956">
        <f t="shared" si="14"/>
        <v>0</v>
      </c>
      <c r="AS38" s="15"/>
      <c r="AT38" s="40">
        <f t="shared" si="20"/>
        <v>0</v>
      </c>
      <c r="AU38" s="40" t="b">
        <f t="shared" si="15"/>
        <v>0</v>
      </c>
      <c r="AV38" s="956">
        <f t="shared" si="16"/>
        <v>1</v>
      </c>
      <c r="AW38" s="956">
        <f t="shared" si="17"/>
        <v>0</v>
      </c>
      <c r="AX38" s="40">
        <f t="shared" si="18"/>
        <v>0</v>
      </c>
      <c r="AY38" s="15"/>
      <c r="AZ38" s="40">
        <f t="shared" si="21"/>
        <v>0</v>
      </c>
      <c r="BC38" s="40">
        <v>0.1</v>
      </c>
    </row>
    <row r="39" spans="1:55" s="40" customFormat="1" ht="13.5" customHeight="1">
      <c r="B39" s="1982" t="s">
        <v>814</v>
      </c>
      <c r="C39" s="1982"/>
      <c r="D39" s="1974"/>
      <c r="E39" s="1975"/>
      <c r="F39" s="1975"/>
      <c r="G39" s="1975"/>
      <c r="H39" s="1979"/>
      <c r="I39" s="88"/>
      <c r="K39" s="747"/>
      <c r="L39" s="584"/>
      <c r="M39" s="584"/>
      <c r="N39" s="584"/>
      <c r="O39" s="584"/>
      <c r="P39" s="584"/>
      <c r="Q39" s="748"/>
      <c r="R39"/>
      <c r="S39" s="10"/>
      <c r="T39" s="15">
        <f>IF(D39="",1,0)</f>
        <v>1</v>
      </c>
      <c r="U39" s="167"/>
      <c r="V39" s="8"/>
      <c r="W39" s="377"/>
      <c r="X39" s="647">
        <f t="shared" si="4"/>
        <v>0</v>
      </c>
      <c r="Y39" s="94">
        <f t="shared" si="19"/>
        <v>0</v>
      </c>
      <c r="Z39" s="271">
        <f t="shared" si="3"/>
        <v>0</v>
      </c>
      <c r="AA39" s="94">
        <f>'A(1)-Sources Stmt.'!D45</f>
        <v>0</v>
      </c>
      <c r="AB39" s="94">
        <f>'A(1)-Sources Stmt.'!G45</f>
        <v>0</v>
      </c>
      <c r="AC39" s="94">
        <f>'A(1)-Sources Stmt.'!J45</f>
        <v>0</v>
      </c>
      <c r="AD39" s="95">
        <f>IF(AND('A(1)-Sources Stmt.'!P45&gt;0,'A(1)-Sources Stmt.'!P45&lt;&gt;""),ROUND('A(1)-Sources Stmt.'!P45,0),0)</f>
        <v>0</v>
      </c>
      <c r="AE39" s="528">
        <f>'A(1)-Sources Stmt.'!O45</f>
        <v>0</v>
      </c>
      <c r="AF39" s="95" t="b">
        <f t="shared" si="5"/>
        <v>0</v>
      </c>
      <c r="AG39" s="957">
        <f t="shared" si="6"/>
        <v>1</v>
      </c>
      <c r="AH39" s="957">
        <f t="shared" si="7"/>
        <v>0</v>
      </c>
      <c r="AI39" s="957">
        <f t="shared" si="8"/>
        <v>0</v>
      </c>
      <c r="AJ39" s="110"/>
      <c r="AK39" s="275">
        <f t="shared" si="9"/>
        <v>0</v>
      </c>
      <c r="AL39" s="529"/>
      <c r="AM39" s="275" t="str">
        <f>IF('A(1)-Sources Stmt.'!Q45&lt;&gt;"",'A(1)-Sources Stmt.'!Q45,"")</f>
        <v/>
      </c>
      <c r="AN39" s="379" t="str">
        <f t="shared" si="10"/>
        <v/>
      </c>
      <c r="AO39" s="8" t="b">
        <f t="shared" si="11"/>
        <v>0</v>
      </c>
      <c r="AP39" s="40">
        <f t="shared" si="12"/>
        <v>1</v>
      </c>
      <c r="AQ39" s="955">
        <f t="shared" si="13"/>
        <v>0</v>
      </c>
      <c r="AR39" s="956">
        <f t="shared" si="14"/>
        <v>0</v>
      </c>
      <c r="AS39" s="15"/>
      <c r="AT39" s="40">
        <f t="shared" si="20"/>
        <v>0</v>
      </c>
      <c r="AU39" s="40" t="b">
        <f t="shared" si="15"/>
        <v>0</v>
      </c>
      <c r="AV39" s="956">
        <f t="shared" si="16"/>
        <v>1</v>
      </c>
      <c r="AW39" s="956">
        <f t="shared" si="17"/>
        <v>0</v>
      </c>
      <c r="AX39" s="40">
        <f t="shared" si="18"/>
        <v>0</v>
      </c>
      <c r="AY39" s="15"/>
      <c r="AZ39" s="40">
        <f t="shared" si="21"/>
        <v>0</v>
      </c>
      <c r="BC39" s="40">
        <v>0.11</v>
      </c>
    </row>
    <row r="40" spans="1:55" s="40" customFormat="1" ht="13.5" customHeight="1">
      <c r="B40" s="1215"/>
      <c r="C40" s="1216"/>
      <c r="D40" s="1972"/>
      <c r="E40" s="1973"/>
      <c r="F40" s="1973"/>
      <c r="G40" s="1973"/>
      <c r="H40" s="1978"/>
      <c r="I40" s="88"/>
      <c r="J40" s="588"/>
      <c r="K40" s="726"/>
      <c r="L40" s="727"/>
      <c r="M40" s="727"/>
      <c r="N40" s="727"/>
      <c r="O40" s="727"/>
      <c r="P40" s="727"/>
      <c r="Q40" s="728"/>
      <c r="R40"/>
      <c r="S40" s="10"/>
      <c r="T40" s="15">
        <f>IF(D40="",1,0)</f>
        <v>1</v>
      </c>
      <c r="U40" s="378">
        <f>SUM(K40:Q40)</f>
        <v>0</v>
      </c>
      <c r="V40" s="8"/>
      <c r="W40" s="377"/>
      <c r="X40" s="647">
        <f t="shared" si="4"/>
        <v>0</v>
      </c>
      <c r="Y40" s="94">
        <f t="shared" si="19"/>
        <v>0</v>
      </c>
      <c r="Z40" s="271">
        <f t="shared" si="3"/>
        <v>0</v>
      </c>
      <c r="AA40" s="94">
        <f>'A(1)-Sources Stmt.'!D46</f>
        <v>0</v>
      </c>
      <c r="AB40" s="94">
        <f>'A(1)-Sources Stmt.'!G46</f>
        <v>0</v>
      </c>
      <c r="AC40" s="94">
        <f>'A(1)-Sources Stmt.'!J46</f>
        <v>0</v>
      </c>
      <c r="AD40" s="95">
        <f>IF(AND('A(1)-Sources Stmt.'!P46&gt;0,'A(1)-Sources Stmt.'!P46&lt;&gt;""),ROUND('A(1)-Sources Stmt.'!P46,0),0)</f>
        <v>0</v>
      </c>
      <c r="AE40" s="528">
        <f>'A(1)-Sources Stmt.'!O46</f>
        <v>0</v>
      </c>
      <c r="AF40" s="95" t="b">
        <f t="shared" si="5"/>
        <v>0</v>
      </c>
      <c r="AG40" s="957">
        <f t="shared" si="6"/>
        <v>1</v>
      </c>
      <c r="AH40" s="957">
        <f t="shared" si="7"/>
        <v>0</v>
      </c>
      <c r="AI40" s="957">
        <f t="shared" si="8"/>
        <v>0</v>
      </c>
      <c r="AJ40" s="110"/>
      <c r="AK40" s="275">
        <f t="shared" si="9"/>
        <v>0</v>
      </c>
      <c r="AL40" s="529"/>
      <c r="AM40" s="275" t="str">
        <f>IF('A(1)-Sources Stmt.'!Q46&lt;&gt;"",'A(1)-Sources Stmt.'!Q46,"")</f>
        <v/>
      </c>
      <c r="AN40" s="379" t="str">
        <f t="shared" si="10"/>
        <v/>
      </c>
      <c r="AO40" s="8" t="b">
        <f t="shared" si="11"/>
        <v>0</v>
      </c>
      <c r="AP40" s="40">
        <f t="shared" si="12"/>
        <v>1</v>
      </c>
      <c r="AQ40" s="955">
        <f t="shared" si="13"/>
        <v>0</v>
      </c>
      <c r="AR40" s="956">
        <f t="shared" si="14"/>
        <v>0</v>
      </c>
      <c r="AS40" s="15"/>
      <c r="AT40" s="40">
        <f t="shared" si="20"/>
        <v>0</v>
      </c>
      <c r="AU40" s="40" t="b">
        <f t="shared" si="15"/>
        <v>0</v>
      </c>
      <c r="AV40" s="956">
        <f t="shared" si="16"/>
        <v>1</v>
      </c>
      <c r="AW40" s="956">
        <f t="shared" si="17"/>
        <v>0</v>
      </c>
      <c r="AX40" s="40">
        <f t="shared" si="18"/>
        <v>0</v>
      </c>
      <c r="AY40" s="15"/>
      <c r="AZ40" s="40">
        <f t="shared" si="21"/>
        <v>0</v>
      </c>
      <c r="BC40" s="40">
        <v>0.12</v>
      </c>
    </row>
    <row r="41" spans="1:55" s="40" customFormat="1" ht="13.5" customHeight="1" thickBot="1">
      <c r="B41" s="1215"/>
      <c r="C41" s="1216"/>
      <c r="D41" s="1970"/>
      <c r="E41" s="1971"/>
      <c r="F41" s="1971"/>
      <c r="G41" s="1971"/>
      <c r="H41" s="1989"/>
      <c r="I41" s="168"/>
      <c r="J41" s="588"/>
      <c r="K41" s="729"/>
      <c r="L41" s="730"/>
      <c r="M41" s="730"/>
      <c r="N41" s="730"/>
      <c r="O41" s="730"/>
      <c r="P41" s="730"/>
      <c r="Q41" s="731"/>
      <c r="R41"/>
      <c r="S41" s="10"/>
      <c r="T41" s="15">
        <f>IF(D41="",1,0)</f>
        <v>1</v>
      </c>
      <c r="U41" s="378"/>
      <c r="V41" s="8"/>
      <c r="W41" s="377"/>
      <c r="X41" s="647">
        <f t="shared" si="4"/>
        <v>0</v>
      </c>
      <c r="Y41" s="94">
        <f t="shared" si="19"/>
        <v>0</v>
      </c>
      <c r="Z41" s="271">
        <f t="shared" si="3"/>
        <v>0</v>
      </c>
      <c r="AA41" s="94">
        <f>'A(1)-Sources Stmt.'!D47</f>
        <v>0</v>
      </c>
      <c r="AB41" s="94">
        <f>'A(1)-Sources Stmt.'!G47</f>
        <v>0</v>
      </c>
      <c r="AC41" s="94">
        <f>'A(1)-Sources Stmt.'!J47</f>
        <v>0</v>
      </c>
      <c r="AD41" s="95">
        <f>IF(AND('A(1)-Sources Stmt.'!P47&gt;0,'A(1)-Sources Stmt.'!P47&lt;&gt;""),ROUND('A(1)-Sources Stmt.'!P47,0),0)</f>
        <v>0</v>
      </c>
      <c r="AE41" s="528">
        <f>'A(1)-Sources Stmt.'!O47</f>
        <v>0</v>
      </c>
      <c r="AF41" s="95" t="b">
        <f t="shared" si="5"/>
        <v>0</v>
      </c>
      <c r="AG41" s="957">
        <f t="shared" si="6"/>
        <v>1</v>
      </c>
      <c r="AH41" s="957">
        <f t="shared" si="7"/>
        <v>0</v>
      </c>
      <c r="AI41" s="957">
        <f t="shared" si="8"/>
        <v>0</v>
      </c>
      <c r="AJ41" s="126"/>
      <c r="AK41" s="275">
        <f t="shared" si="9"/>
        <v>0</v>
      </c>
      <c r="AL41" s="529"/>
      <c r="AM41" s="275" t="str">
        <f>IF('A(1)-Sources Stmt.'!Q47&lt;&gt;"",'A(1)-Sources Stmt.'!Q47,"")</f>
        <v/>
      </c>
      <c r="AN41" s="379" t="str">
        <f t="shared" si="10"/>
        <v/>
      </c>
      <c r="AO41" s="8" t="b">
        <f t="shared" si="11"/>
        <v>0</v>
      </c>
      <c r="AP41" s="40">
        <f t="shared" si="12"/>
        <v>1</v>
      </c>
      <c r="AQ41" s="955">
        <f t="shared" si="13"/>
        <v>0</v>
      </c>
      <c r="AR41" s="956">
        <f t="shared" si="14"/>
        <v>0</v>
      </c>
      <c r="AS41" s="15"/>
      <c r="AT41" s="40">
        <f t="shared" si="20"/>
        <v>0</v>
      </c>
      <c r="AU41" s="40" t="b">
        <f t="shared" si="15"/>
        <v>0</v>
      </c>
      <c r="AV41" s="956">
        <f t="shared" si="16"/>
        <v>1</v>
      </c>
      <c r="AW41" s="956">
        <f t="shared" si="17"/>
        <v>0</v>
      </c>
      <c r="AX41" s="40">
        <f t="shared" si="18"/>
        <v>0</v>
      </c>
      <c r="AY41" s="15"/>
      <c r="AZ41" s="40">
        <f t="shared" si="21"/>
        <v>0</v>
      </c>
      <c r="BC41" s="40">
        <v>0.13</v>
      </c>
    </row>
    <row r="42" spans="1:55" s="40" customFormat="1" ht="13.5" customHeight="1" thickTop="1" thickBot="1">
      <c r="B42" s="172"/>
      <c r="C42" s="10"/>
      <c r="D42" s="1863" t="s">
        <v>5</v>
      </c>
      <c r="E42" s="1863"/>
      <c r="F42" s="1863"/>
      <c r="G42" s="1863"/>
      <c r="H42" s="1863"/>
      <c r="I42" s="1863"/>
      <c r="J42" s="67"/>
      <c r="K42" s="1049">
        <f>ROUND(SUM(K35:K41)+K26,0)</f>
        <v>0</v>
      </c>
      <c r="L42" s="1050">
        <f t="shared" ref="L42:Q42" si="23">ROUND(SUM(L35:L41)+L26,0)</f>
        <v>0</v>
      </c>
      <c r="M42" s="1050">
        <f t="shared" si="23"/>
        <v>0</v>
      </c>
      <c r="N42" s="1050">
        <f t="shared" si="23"/>
        <v>0</v>
      </c>
      <c r="O42" s="1050">
        <f t="shared" si="23"/>
        <v>0</v>
      </c>
      <c r="P42" s="1050">
        <f t="shared" si="23"/>
        <v>0</v>
      </c>
      <c r="Q42" s="1051">
        <f t="shared" si="23"/>
        <v>0</v>
      </c>
      <c r="R42"/>
      <c r="S42" s="10"/>
      <c r="T42" s="74"/>
      <c r="U42" s="378"/>
      <c r="V42" s="8"/>
      <c r="W42" s="377"/>
      <c r="X42" s="647">
        <f t="shared" si="4"/>
        <v>0</v>
      </c>
      <c r="Y42" s="94">
        <f t="shared" si="19"/>
        <v>0</v>
      </c>
      <c r="Z42" s="271">
        <f t="shared" si="3"/>
        <v>0</v>
      </c>
      <c r="AA42" s="94">
        <f>'A(1)-Sources Stmt.'!D48</f>
        <v>0</v>
      </c>
      <c r="AB42" s="94">
        <f>'A(1)-Sources Stmt.'!G48</f>
        <v>0</v>
      </c>
      <c r="AC42" s="94">
        <f>'A(1)-Sources Stmt.'!J48</f>
        <v>0</v>
      </c>
      <c r="AD42" s="95">
        <f>IF(AND('A(1)-Sources Stmt.'!P48&gt;0,'A(1)-Sources Stmt.'!P48&lt;&gt;""),ROUND('A(1)-Sources Stmt.'!P48,0),0)</f>
        <v>0</v>
      </c>
      <c r="AE42" s="528">
        <f>'A(1)-Sources Stmt.'!O48</f>
        <v>0</v>
      </c>
      <c r="AF42" s="95" t="b">
        <f t="shared" si="5"/>
        <v>0</v>
      </c>
      <c r="AG42" s="957">
        <f t="shared" si="6"/>
        <v>1</v>
      </c>
      <c r="AH42" s="957">
        <f t="shared" si="7"/>
        <v>0</v>
      </c>
      <c r="AI42" s="957">
        <f t="shared" si="8"/>
        <v>0</v>
      </c>
      <c r="AJ42" s="126"/>
      <c r="AK42" s="275">
        <f t="shared" si="9"/>
        <v>0</v>
      </c>
      <c r="AL42" s="529"/>
      <c r="AM42" s="275" t="str">
        <f>IF('A(1)-Sources Stmt.'!Q48&lt;&gt;"",'A(1)-Sources Stmt.'!Q48,"")</f>
        <v/>
      </c>
      <c r="AN42" s="379" t="str">
        <f t="shared" si="10"/>
        <v/>
      </c>
      <c r="AO42" s="8" t="b">
        <f t="shared" si="11"/>
        <v>0</v>
      </c>
      <c r="AP42" s="40">
        <f t="shared" si="12"/>
        <v>1</v>
      </c>
      <c r="AQ42" s="955">
        <f t="shared" si="13"/>
        <v>0</v>
      </c>
      <c r="AR42" s="956">
        <f t="shared" si="14"/>
        <v>0</v>
      </c>
      <c r="AS42" s="15"/>
      <c r="AT42" s="40">
        <f t="shared" si="20"/>
        <v>0</v>
      </c>
      <c r="AU42" s="40" t="b">
        <f t="shared" si="15"/>
        <v>0</v>
      </c>
      <c r="AV42" s="956">
        <f t="shared" si="16"/>
        <v>1</v>
      </c>
      <c r="AW42" s="956">
        <f t="shared" si="17"/>
        <v>0</v>
      </c>
      <c r="AX42" s="40">
        <f t="shared" si="18"/>
        <v>0</v>
      </c>
      <c r="AY42" s="15"/>
      <c r="AZ42" s="40">
        <f t="shared" si="21"/>
        <v>0</v>
      </c>
      <c r="BC42" s="40">
        <v>0.14000000000000001</v>
      </c>
    </row>
    <row r="43" spans="1:55" s="40" customFormat="1" ht="13.5" customHeight="1" thickTop="1" thickBot="1">
      <c r="B43" s="172"/>
      <c r="C43" s="10"/>
      <c r="D43" s="1863" t="s">
        <v>912</v>
      </c>
      <c r="E43" s="1863"/>
      <c r="F43" s="1863"/>
      <c r="G43" s="1863"/>
      <c r="H43" s="1863"/>
      <c r="I43" s="1863"/>
      <c r="J43" s="67"/>
      <c r="K43" s="975">
        <f t="shared" ref="K43:Q43" si="24">K24-K42</f>
        <v>0</v>
      </c>
      <c r="L43" s="976">
        <f t="shared" si="24"/>
        <v>0</v>
      </c>
      <c r="M43" s="976">
        <f t="shared" si="24"/>
        <v>0</v>
      </c>
      <c r="N43" s="976">
        <f t="shared" si="24"/>
        <v>0</v>
      </c>
      <c r="O43" s="976">
        <f t="shared" si="24"/>
        <v>0</v>
      </c>
      <c r="P43" s="976">
        <f t="shared" si="24"/>
        <v>0</v>
      </c>
      <c r="Q43" s="981">
        <f t="shared" si="24"/>
        <v>0</v>
      </c>
      <c r="R43"/>
      <c r="S43" s="10"/>
      <c r="T43" s="74"/>
      <c r="U43" s="378"/>
      <c r="V43" s="8"/>
      <c r="W43" s="377"/>
      <c r="X43" s="647">
        <f t="shared" si="4"/>
        <v>0</v>
      </c>
      <c r="Y43" s="94">
        <f t="shared" si="19"/>
        <v>0</v>
      </c>
      <c r="Z43" s="271">
        <f t="shared" si="3"/>
        <v>0</v>
      </c>
      <c r="AA43" s="94">
        <f>'A(1)-Sources Stmt.'!D49</f>
        <v>0</v>
      </c>
      <c r="AB43" s="94">
        <f>'A(1)-Sources Stmt.'!G49</f>
        <v>0</v>
      </c>
      <c r="AC43" s="94">
        <f>'A(1)-Sources Stmt.'!J49</f>
        <v>0</v>
      </c>
      <c r="AD43" s="95">
        <f>IF(AND('A(1)-Sources Stmt.'!P49&gt;0,'A(1)-Sources Stmt.'!P49&lt;&gt;""),ROUND('A(1)-Sources Stmt.'!P49,0),0)</f>
        <v>0</v>
      </c>
      <c r="AE43" s="528">
        <f>'A(1)-Sources Stmt.'!O49</f>
        <v>0</v>
      </c>
      <c r="AF43" s="95" t="b">
        <f t="shared" si="5"/>
        <v>0</v>
      </c>
      <c r="AG43" s="957">
        <f t="shared" si="6"/>
        <v>1</v>
      </c>
      <c r="AH43" s="957">
        <f t="shared" si="7"/>
        <v>0</v>
      </c>
      <c r="AI43" s="957">
        <f t="shared" si="8"/>
        <v>0</v>
      </c>
      <c r="AJ43" s="126"/>
      <c r="AK43" s="275">
        <f t="shared" si="9"/>
        <v>0</v>
      </c>
      <c r="AL43" s="529"/>
      <c r="AM43" s="275" t="str">
        <f>IF('A(1)-Sources Stmt.'!Q49&lt;&gt;"",'A(1)-Sources Stmt.'!Q49,"")</f>
        <v/>
      </c>
      <c r="AN43" s="379" t="str">
        <f t="shared" si="10"/>
        <v/>
      </c>
      <c r="AO43" s="8" t="b">
        <f t="shared" si="11"/>
        <v>0</v>
      </c>
      <c r="AP43" s="40">
        <f t="shared" si="12"/>
        <v>1</v>
      </c>
      <c r="AQ43" s="955">
        <f t="shared" si="13"/>
        <v>0</v>
      </c>
      <c r="AR43" s="956">
        <f t="shared" si="14"/>
        <v>0</v>
      </c>
      <c r="AS43" s="15"/>
      <c r="AT43" s="40">
        <f t="shared" si="20"/>
        <v>0</v>
      </c>
      <c r="AU43" s="40" t="b">
        <f t="shared" si="15"/>
        <v>0</v>
      </c>
      <c r="AV43" s="956">
        <f t="shared" si="16"/>
        <v>1</v>
      </c>
      <c r="AW43" s="956">
        <f t="shared" si="17"/>
        <v>0</v>
      </c>
      <c r="AX43" s="40">
        <f t="shared" si="18"/>
        <v>0</v>
      </c>
      <c r="AY43" s="15"/>
      <c r="AZ43" s="40">
        <f t="shared" si="21"/>
        <v>0</v>
      </c>
      <c r="BC43" s="40">
        <v>0.15</v>
      </c>
    </row>
    <row r="44" spans="1:55" s="40" customFormat="1" ht="24" customHeight="1" thickTop="1">
      <c r="B44" s="1981" t="s">
        <v>1272</v>
      </c>
      <c r="C44" s="1981"/>
      <c r="D44" s="1981"/>
      <c r="E44" s="1981"/>
      <c r="F44" s="1981"/>
      <c r="G44" s="1981"/>
      <c r="H44" s="1981"/>
      <c r="I44" s="1981"/>
      <c r="J44" s="73"/>
      <c r="K44" s="132"/>
      <c r="L44" s="132"/>
      <c r="M44" s="132"/>
      <c r="N44" s="132"/>
      <c r="O44" s="132"/>
      <c r="P44" s="132"/>
      <c r="Q44" s="132"/>
      <c r="R44"/>
      <c r="S44" s="10"/>
      <c r="T44" s="74"/>
      <c r="U44" s="378"/>
      <c r="V44" s="8"/>
      <c r="W44" s="377"/>
      <c r="X44" s="646">
        <f>MAX(X29:X43)</f>
        <v>0</v>
      </c>
      <c r="Y44" s="646">
        <f>MAX(Y29:Y43)</f>
        <v>0</v>
      </c>
      <c r="Z44" s="272">
        <f>MAX(Z29:Z43)</f>
        <v>0</v>
      </c>
      <c r="AA44" s="404"/>
      <c r="AB44" s="404"/>
      <c r="AC44" s="404"/>
      <c r="AD44" s="93"/>
      <c r="AE44" s="93"/>
      <c r="AF44" s="93"/>
      <c r="AG44" s="133"/>
      <c r="AH44" s="133"/>
      <c r="AI44" s="133"/>
      <c r="AJ44" s="126"/>
      <c r="AK44" s="39"/>
      <c r="AL44" s="39"/>
      <c r="AM44" s="39"/>
      <c r="AN44" s="7"/>
      <c r="AO44" s="7"/>
      <c r="AP44" s="15"/>
      <c r="AQ44" s="15"/>
      <c r="AR44" s="15"/>
      <c r="AS44" s="15"/>
    </row>
    <row r="45" spans="1:55" s="40" customFormat="1" ht="15" customHeight="1" thickBot="1">
      <c r="A45" s="15"/>
      <c r="C45" s="895"/>
      <c r="D45" s="895"/>
      <c r="E45" s="895"/>
      <c r="F45" s="895"/>
      <c r="G45" s="895"/>
      <c r="H45" s="895"/>
      <c r="I45" s="895"/>
      <c r="J45" s="895"/>
      <c r="K45" s="1968" t="s">
        <v>995</v>
      </c>
      <c r="L45" s="1968"/>
      <c r="M45" s="15"/>
      <c r="N45" s="15"/>
      <c r="O45" s="15"/>
      <c r="P45" s="15"/>
      <c r="Q45" s="131"/>
      <c r="R45"/>
      <c r="S45" s="10"/>
      <c r="T45" s="74"/>
      <c r="U45" s="378"/>
      <c r="V45" s="8"/>
      <c r="W45" s="377"/>
      <c r="X45" s="376"/>
      <c r="Z45" s="273"/>
      <c r="AA45" s="404"/>
      <c r="AB45" s="404"/>
      <c r="AC45" s="93"/>
      <c r="AD45" s="74"/>
      <c r="AE45" s="74"/>
      <c r="AF45" s="273"/>
      <c r="AG45" s="74"/>
      <c r="AH45" s="74"/>
      <c r="AI45" s="8"/>
      <c r="AJ45" s="8"/>
      <c r="AK45" s="8"/>
      <c r="AL45" s="8"/>
      <c r="AM45" s="8"/>
    </row>
    <row r="46" spans="1:55" s="40" customFormat="1" ht="13.5" customHeight="1" thickTop="1">
      <c r="A46" s="15"/>
      <c r="B46" s="49"/>
      <c r="C46" s="13"/>
      <c r="D46" s="1766" t="str">
        <f>IF(Z44&gt;=1,(VLOOKUP(1,Z29:AJ43,2,FALSE)),"None")</f>
        <v>None</v>
      </c>
      <c r="E46" s="1766"/>
      <c r="F46" s="1766"/>
      <c r="G46" s="1766"/>
      <c r="H46" s="1766"/>
      <c r="I46" s="586"/>
      <c r="J46" s="71"/>
      <c r="K46" s="1041" t="str">
        <f>IF($Z$44&gt;=1,(VLOOKUP(1,$Z$29:$AK$43,12,FALSE)),"$0.00")</f>
        <v>$0.00</v>
      </c>
      <c r="L46" s="1042" t="str">
        <f>K46</f>
        <v>$0.00</v>
      </c>
      <c r="M46" s="1042" t="str">
        <f t="shared" ref="M46:Q50" si="25">L46</f>
        <v>$0.00</v>
      </c>
      <c r="N46" s="1042" t="str">
        <f t="shared" si="25"/>
        <v>$0.00</v>
      </c>
      <c r="O46" s="1042" t="str">
        <f t="shared" si="25"/>
        <v>$0.00</v>
      </c>
      <c r="P46" s="1042" t="str">
        <f t="shared" si="25"/>
        <v>$0.00</v>
      </c>
      <c r="Q46" s="1043" t="str">
        <f t="shared" si="25"/>
        <v>$0.00</v>
      </c>
      <c r="R46"/>
      <c r="S46" s="10"/>
      <c r="T46" s="74"/>
      <c r="U46" s="167"/>
      <c r="V46" s="8"/>
      <c r="W46" s="377"/>
      <c r="AA46" s="273"/>
      <c r="AB46" s="273"/>
      <c r="AC46" s="273"/>
      <c r="AD46" s="273"/>
      <c r="AE46" s="273"/>
      <c r="AF46" s="273"/>
      <c r="AG46" s="74"/>
      <c r="AH46" s="74"/>
      <c r="AI46" s="8"/>
      <c r="AJ46" s="8"/>
      <c r="AK46" s="8"/>
      <c r="AL46" s="8"/>
      <c r="AM46" s="8"/>
    </row>
    <row r="47" spans="1:55" s="40" customFormat="1" ht="13.5" customHeight="1">
      <c r="A47" s="15"/>
      <c r="B47" s="49"/>
      <c r="C47" s="13"/>
      <c r="D47" s="1766" t="str">
        <f>IF(Z44&gt;=2,(VLOOKUP(2,Z29:AJ43,2,FALSE)),"None")</f>
        <v>None</v>
      </c>
      <c r="E47" s="1766"/>
      <c r="F47" s="1766"/>
      <c r="G47" s="1766"/>
      <c r="H47" s="1766"/>
      <c r="I47" s="586"/>
      <c r="J47" s="71"/>
      <c r="K47" s="1044" t="str">
        <f>IF($Z$44&gt;=2,(VLOOKUP(2,$Z$29:$AK$43,12,FALSE)),"$0.00")</f>
        <v>$0.00</v>
      </c>
      <c r="L47" s="1008" t="str">
        <f>IF(AND(K47&lt;&gt;"",K47&gt;0),K47,"")</f>
        <v>$0.00</v>
      </c>
      <c r="M47" s="1008" t="str">
        <f t="shared" si="25"/>
        <v>$0.00</v>
      </c>
      <c r="N47" s="1008" t="str">
        <f t="shared" si="25"/>
        <v>$0.00</v>
      </c>
      <c r="O47" s="1008" t="str">
        <f t="shared" si="25"/>
        <v>$0.00</v>
      </c>
      <c r="P47" s="1008" t="str">
        <f t="shared" si="25"/>
        <v>$0.00</v>
      </c>
      <c r="Q47" s="1045" t="str">
        <f t="shared" si="25"/>
        <v>$0.00</v>
      </c>
      <c r="R47"/>
      <c r="S47" s="10"/>
      <c r="T47" s="74"/>
      <c r="U47" s="167"/>
      <c r="V47" s="8"/>
      <c r="W47" s="377"/>
      <c r="X47" s="376"/>
      <c r="Y47" s="14"/>
      <c r="AA47" s="74"/>
      <c r="AB47" s="74"/>
      <c r="AC47" s="74"/>
      <c r="AD47" s="74"/>
      <c r="AE47" s="74"/>
      <c r="AF47" s="74"/>
      <c r="AG47" s="74"/>
      <c r="AH47" s="74"/>
      <c r="AI47" s="8"/>
      <c r="AJ47" s="8"/>
      <c r="AK47" s="8"/>
      <c r="AL47" s="8"/>
      <c r="AM47" s="8"/>
    </row>
    <row r="48" spans="1:55" ht="13.5" customHeight="1">
      <c r="C48" s="13"/>
      <c r="D48" s="1766" t="str">
        <f>IF(Z44&gt;=3,(VLOOKUP(3,Z29:AJ43,2,FALSE)),"None")</f>
        <v>None</v>
      </c>
      <c r="E48" s="1766"/>
      <c r="F48" s="1766"/>
      <c r="G48" s="1766"/>
      <c r="H48" s="1766"/>
      <c r="I48" s="586"/>
      <c r="J48" s="71"/>
      <c r="K48" s="1044" t="str">
        <f>IF(Z44&gt;=3,(VLOOKUP(3,Z29:AK43,12,FALSE)),"$0.00")</f>
        <v>$0.00</v>
      </c>
      <c r="L48" s="1008" t="str">
        <f>IF(AND(K48&lt;&gt;"",K48&gt;0),K48,"")</f>
        <v>$0.00</v>
      </c>
      <c r="M48" s="1008" t="str">
        <f t="shared" si="25"/>
        <v>$0.00</v>
      </c>
      <c r="N48" s="1008" t="str">
        <f t="shared" si="25"/>
        <v>$0.00</v>
      </c>
      <c r="O48" s="1008" t="str">
        <f t="shared" si="25"/>
        <v>$0.00</v>
      </c>
      <c r="P48" s="1008" t="str">
        <f t="shared" si="25"/>
        <v>$0.00</v>
      </c>
      <c r="Q48" s="1045" t="str">
        <f t="shared" si="25"/>
        <v>$0.00</v>
      </c>
      <c r="S48" s="13"/>
      <c r="T48" s="79"/>
      <c r="U48" s="265"/>
      <c r="V48" s="39"/>
      <c r="W48" s="274"/>
      <c r="X48" s="39"/>
      <c r="Y48" s="39"/>
      <c r="Z48" s="39"/>
      <c r="AA48" s="39"/>
      <c r="AB48" s="39"/>
      <c r="AC48" s="39"/>
      <c r="AD48" s="39"/>
      <c r="AE48" s="39"/>
      <c r="AF48" s="39"/>
      <c r="AG48" s="39"/>
      <c r="AH48" s="39"/>
      <c r="AI48" s="39"/>
      <c r="AJ48" s="39"/>
      <c r="AK48" s="39"/>
      <c r="AL48" s="7"/>
      <c r="AM48" s="7"/>
    </row>
    <row r="49" spans="1:41" s="40" customFormat="1" ht="13.5" customHeight="1">
      <c r="A49" s="15"/>
      <c r="B49" s="49"/>
      <c r="C49" s="13"/>
      <c r="D49" s="1766" t="str">
        <f>IF(Z44&gt;=4,(VLOOKUP(4,Z29:AJ43,2,FALSE)),"None")</f>
        <v>None</v>
      </c>
      <c r="E49" s="1766"/>
      <c r="F49" s="1766"/>
      <c r="G49" s="1766"/>
      <c r="H49" s="1766"/>
      <c r="I49" s="586"/>
      <c r="J49" s="71"/>
      <c r="K49" s="1044" t="str">
        <f>IF(Z44&gt;=4,(VLOOKUP(4,Z29:AK43,12,FALSE)),"$0.00")</f>
        <v>$0.00</v>
      </c>
      <c r="L49" s="1008" t="str">
        <f>IF(AND(K49&lt;&gt;"",K49&gt;0),K49,"")</f>
        <v>$0.00</v>
      </c>
      <c r="M49" s="1008" t="str">
        <f t="shared" si="25"/>
        <v>$0.00</v>
      </c>
      <c r="N49" s="1008" t="str">
        <f t="shared" si="25"/>
        <v>$0.00</v>
      </c>
      <c r="O49" s="1008" t="str">
        <f t="shared" si="25"/>
        <v>$0.00</v>
      </c>
      <c r="P49" s="1008" t="str">
        <f t="shared" si="25"/>
        <v>$0.00</v>
      </c>
      <c r="Q49" s="1045" t="str">
        <f t="shared" si="25"/>
        <v>$0.00</v>
      </c>
      <c r="R49"/>
      <c r="S49" s="10"/>
      <c r="T49" s="74"/>
      <c r="U49" s="167"/>
      <c r="V49" s="8"/>
      <c r="W49" s="8"/>
      <c r="AE49" s="8"/>
      <c r="AF49" s="8"/>
      <c r="AG49" s="8"/>
      <c r="AH49" s="8"/>
      <c r="AI49" s="8"/>
      <c r="AJ49" s="8"/>
      <c r="AK49" s="8"/>
      <c r="AL49" s="8"/>
      <c r="AM49" s="8"/>
    </row>
    <row r="50" spans="1:41" s="40" customFormat="1" ht="13.5" customHeight="1" thickBot="1">
      <c r="A50" s="15"/>
      <c r="B50" s="49"/>
      <c r="C50" s="13"/>
      <c r="D50" s="1766" t="str">
        <f>IF(Z44&gt;=5,(VLOOKUP(5,Z29:AJ43,2,FALSE)),"None")</f>
        <v>None</v>
      </c>
      <c r="E50" s="1766"/>
      <c r="F50" s="1766"/>
      <c r="G50" s="1766"/>
      <c r="H50" s="1766"/>
      <c r="I50" s="586"/>
      <c r="J50" s="71"/>
      <c r="K50" s="1046" t="str">
        <f>IF(Z44&gt;=5,(VLOOKUP(5,Z29:AK43,12,FALSE)),"$0.00")</f>
        <v>$0.00</v>
      </c>
      <c r="L50" s="1047" t="str">
        <f>IF(AND(K50&lt;&gt;"",K50&gt;0),K50,"")</f>
        <v>$0.00</v>
      </c>
      <c r="M50" s="1047" t="str">
        <f t="shared" si="25"/>
        <v>$0.00</v>
      </c>
      <c r="N50" s="1047" t="str">
        <f t="shared" si="25"/>
        <v>$0.00</v>
      </c>
      <c r="O50" s="1047" t="str">
        <f t="shared" si="25"/>
        <v>$0.00</v>
      </c>
      <c r="P50" s="1047" t="str">
        <f t="shared" si="25"/>
        <v>$0.00</v>
      </c>
      <c r="Q50" s="1048" t="str">
        <f t="shared" si="25"/>
        <v>$0.00</v>
      </c>
      <c r="R50"/>
      <c r="S50" s="10"/>
      <c r="T50" s="74"/>
      <c r="U50" s="167"/>
      <c r="V50" s="8"/>
      <c r="W50" s="8"/>
      <c r="X50" s="8"/>
      <c r="Y50" s="8"/>
      <c r="Z50" s="8"/>
      <c r="AA50" s="8"/>
      <c r="AB50" s="8"/>
      <c r="AC50" s="8"/>
      <c r="AD50" s="8"/>
      <c r="AE50" s="8"/>
      <c r="AF50" s="8"/>
      <c r="AG50" s="8"/>
      <c r="AH50" s="8"/>
      <c r="AI50" s="8"/>
      <c r="AJ50" s="8"/>
      <c r="AK50" s="8"/>
      <c r="AL50" s="8"/>
      <c r="AM50" s="8"/>
    </row>
    <row r="51" spans="1:41" s="362" customFormat="1" ht="24" customHeight="1" thickTop="1">
      <c r="A51" s="642"/>
      <c r="C51" s="895"/>
      <c r="D51" s="895"/>
      <c r="E51" s="895"/>
      <c r="F51" s="895"/>
      <c r="G51" s="895"/>
      <c r="H51" s="895"/>
      <c r="I51" s="895"/>
      <c r="J51" s="895"/>
      <c r="K51" s="1383" t="str">
        <f>IF(AND(T58&gt;0,U58=0),"Input Debt Service for Other Permanent Loans","Other Permanent Loans")</f>
        <v>Other Permanent Loans</v>
      </c>
      <c r="L51" s="1383"/>
      <c r="M51" s="1383"/>
      <c r="N51" s="1383"/>
      <c r="O51" s="642"/>
      <c r="P51" s="642"/>
      <c r="Q51" s="642"/>
      <c r="R51"/>
      <c r="S51" s="101"/>
      <c r="T51" s="74"/>
      <c r="U51" s="622"/>
      <c r="V51" s="472"/>
      <c r="W51" s="472"/>
      <c r="X51" s="472"/>
      <c r="Y51" s="472"/>
      <c r="Z51" s="472"/>
      <c r="AA51" s="472"/>
      <c r="AB51" s="472"/>
      <c r="AC51" s="472"/>
      <c r="AD51" s="472"/>
      <c r="AE51" s="472"/>
      <c r="AF51" s="472"/>
      <c r="AG51" s="472"/>
      <c r="AH51" s="472"/>
      <c r="AI51" s="472"/>
      <c r="AJ51" s="472"/>
      <c r="AK51" s="472"/>
      <c r="AL51" s="472"/>
      <c r="AM51" s="472"/>
    </row>
    <row r="52" spans="1:41" s="40" customFormat="1" ht="13.5" customHeight="1">
      <c r="A52" s="47"/>
      <c r="B52" s="47"/>
      <c r="C52" s="47"/>
      <c r="D52" s="2007" t="str">
        <f>IF(Y44&gt;=1,(VLOOKUP(1,Y29:AI43,3,FALSE)),"None")</f>
        <v>None</v>
      </c>
      <c r="E52" s="2007"/>
      <c r="F52" s="2007"/>
      <c r="G52" s="2007"/>
      <c r="H52" s="2007"/>
      <c r="I52" s="1"/>
      <c r="J52" s="1"/>
      <c r="K52" s="818"/>
      <c r="L52" s="819"/>
      <c r="M52" s="819"/>
      <c r="N52" s="819"/>
      <c r="O52" s="819"/>
      <c r="P52" s="819"/>
      <c r="Q52" s="820"/>
      <c r="R52"/>
      <c r="T52" s="47">
        <f>IF(D52&lt;&gt;"None",1,0)</f>
        <v>0</v>
      </c>
      <c r="U52" s="15">
        <f>COUNTIF(K52:Q52,"&lt;&gt;")</f>
        <v>0</v>
      </c>
      <c r="V52" s="8"/>
      <c r="W52" s="8"/>
      <c r="Y52" s="47">
        <f>IF(D52&lt;&gt;"None",1,0)</f>
        <v>0</v>
      </c>
      <c r="Z52" s="47">
        <f>COUNTIF(K52:Q52,"&lt;&gt;")</f>
        <v>0</v>
      </c>
      <c r="AA52" s="47">
        <f>IF(AND(Y52=1,Z52&lt;7),1,0)</f>
        <v>0</v>
      </c>
      <c r="AB52" s="47"/>
      <c r="AC52" s="47">
        <f>IF(D61&lt;&gt;"None",1,0)</f>
        <v>0</v>
      </c>
      <c r="AD52" s="47">
        <f>COUNTIF(K61:Q61,"&lt;&gt;")</f>
        <v>0</v>
      </c>
      <c r="AE52" s="47">
        <f>IF(AND(AC52=1,AD52&lt;7),1,0)</f>
        <v>0</v>
      </c>
      <c r="AF52" s="8"/>
      <c r="AG52" s="8"/>
      <c r="AH52" s="8"/>
      <c r="AI52" s="8"/>
      <c r="AJ52" s="8"/>
      <c r="AK52" s="8"/>
      <c r="AL52" s="8"/>
      <c r="AM52" s="8"/>
    </row>
    <row r="53" spans="1:41" s="40" customFormat="1" ht="13.5" customHeight="1">
      <c r="A53" s="47"/>
      <c r="B53" s="47"/>
      <c r="C53" s="47"/>
      <c r="D53" s="2007" t="str">
        <f>IF(Y44&gt;=2,(VLOOKUP(2,Y29:AI43,3,FALSE)),"None")</f>
        <v>None</v>
      </c>
      <c r="E53" s="2007"/>
      <c r="F53" s="2007"/>
      <c r="G53" s="2007"/>
      <c r="H53" s="2007"/>
      <c r="I53" s="1"/>
      <c r="J53" s="1"/>
      <c r="K53" s="821"/>
      <c r="L53" s="102"/>
      <c r="M53" s="102"/>
      <c r="N53" s="102"/>
      <c r="O53" s="102"/>
      <c r="P53" s="102"/>
      <c r="Q53" s="822"/>
      <c r="R53"/>
      <c r="T53" s="47">
        <f>IF(D53&lt;&gt;"None",1,0)</f>
        <v>0</v>
      </c>
      <c r="U53" s="15">
        <f>COUNTIF(K53:Q53,"&lt;&gt;")</f>
        <v>0</v>
      </c>
      <c r="V53" s="8"/>
      <c r="W53" s="8"/>
      <c r="Y53" s="47">
        <f t="shared" ref="Y53:Y56" si="26">IF(D53&lt;&gt;"None",1,0)</f>
        <v>0</v>
      </c>
      <c r="Z53" s="47">
        <f t="shared" ref="Z53:Z56" si="27">COUNTIF(K53:Q53,"&lt;&gt;")</f>
        <v>0</v>
      </c>
      <c r="AA53" s="47">
        <f t="shared" ref="AA53:AA56" si="28">IF(AND(Y53=1,Z53&lt;7),1,0)</f>
        <v>0</v>
      </c>
      <c r="AB53" s="47"/>
      <c r="AC53" s="47">
        <f t="shared" ref="AC53:AC56" si="29">IF(D62&lt;&gt;"None",1,0)</f>
        <v>0</v>
      </c>
      <c r="AD53" s="47">
        <f t="shared" ref="AD53:AD56" si="30">COUNTIF(K62:Q62,"&lt;&gt;")</f>
        <v>0</v>
      </c>
      <c r="AE53" s="47">
        <f>IF(AND(AC53=1,AD53&lt;7),1,0)</f>
        <v>0</v>
      </c>
      <c r="AF53" s="8"/>
      <c r="AG53" s="8"/>
      <c r="AH53" s="8"/>
      <c r="AI53" s="8"/>
      <c r="AJ53" s="8"/>
      <c r="AK53" s="8"/>
      <c r="AL53" s="8"/>
      <c r="AM53" s="8"/>
    </row>
    <row r="54" spans="1:41" s="40" customFormat="1" ht="13.5" customHeight="1">
      <c r="A54" s="47"/>
      <c r="B54" s="47"/>
      <c r="C54" s="47"/>
      <c r="D54" s="2007" t="str">
        <f>IF(Y44&gt;=3,(VLOOKUP(3,Y29:AI43,3,FALSE)),"None")</f>
        <v>None</v>
      </c>
      <c r="E54" s="2007"/>
      <c r="F54" s="2007"/>
      <c r="G54" s="2007"/>
      <c r="H54" s="2007"/>
      <c r="I54" s="1"/>
      <c r="J54" s="1"/>
      <c r="K54" s="821"/>
      <c r="L54" s="102"/>
      <c r="M54" s="102"/>
      <c r="N54" s="102"/>
      <c r="O54" s="102"/>
      <c r="P54" s="102"/>
      <c r="Q54" s="822"/>
      <c r="R54"/>
      <c r="T54" s="47">
        <f>IF(D54&lt;&gt;"None",1,0)</f>
        <v>0</v>
      </c>
      <c r="U54" s="15">
        <f>COUNTIF(K54:Q54,"&lt;&gt;")</f>
        <v>0</v>
      </c>
      <c r="Y54" s="47">
        <f t="shared" si="26"/>
        <v>0</v>
      </c>
      <c r="Z54" s="47">
        <f t="shared" si="27"/>
        <v>0</v>
      </c>
      <c r="AA54" s="47">
        <f t="shared" si="28"/>
        <v>0</v>
      </c>
      <c r="AB54" s="47"/>
      <c r="AC54" s="47">
        <f t="shared" si="29"/>
        <v>0</v>
      </c>
      <c r="AD54" s="47">
        <f t="shared" si="30"/>
        <v>0</v>
      </c>
      <c r="AE54" s="47">
        <f t="shared" ref="AE54:AE56" si="31">IF(AND(AC54=1,AD54&lt;7),1,0)</f>
        <v>0</v>
      </c>
      <c r="AF54" s="10"/>
      <c r="AG54" s="8"/>
      <c r="AH54" s="8"/>
      <c r="AI54" s="8"/>
      <c r="AJ54" s="8"/>
      <c r="AK54" s="8"/>
      <c r="AL54" s="8"/>
      <c r="AM54" s="8"/>
    </row>
    <row r="55" spans="1:41" s="40" customFormat="1" ht="13.5" customHeight="1">
      <c r="A55" s="47"/>
      <c r="B55" s="47"/>
      <c r="C55" s="47"/>
      <c r="D55" s="2007" t="str">
        <f>IF(Y44&gt;=4,(VLOOKUP(4,Y29:AI43,3,FALSE)),"None")</f>
        <v>None</v>
      </c>
      <c r="E55" s="2007"/>
      <c r="F55" s="2007"/>
      <c r="G55" s="2007"/>
      <c r="H55" s="2007"/>
      <c r="I55" s="1"/>
      <c r="J55" s="1"/>
      <c r="K55" s="821"/>
      <c r="L55" s="102"/>
      <c r="M55" s="102"/>
      <c r="N55" s="102"/>
      <c r="O55" s="102"/>
      <c r="P55" s="102"/>
      <c r="Q55" s="822"/>
      <c r="R55"/>
      <c r="T55" s="47">
        <f>IF(D55&lt;&gt;"None",1,0)</f>
        <v>0</v>
      </c>
      <c r="U55" s="15">
        <f>COUNTIF(K55:Q55,"&lt;&gt;")</f>
        <v>0</v>
      </c>
      <c r="Y55" s="47">
        <f t="shared" si="26"/>
        <v>0</v>
      </c>
      <c r="Z55" s="47">
        <f t="shared" si="27"/>
        <v>0</v>
      </c>
      <c r="AA55" s="47">
        <f t="shared" si="28"/>
        <v>0</v>
      </c>
      <c r="AB55" s="47"/>
      <c r="AC55" s="47">
        <f t="shared" si="29"/>
        <v>0</v>
      </c>
      <c r="AD55" s="47">
        <f t="shared" si="30"/>
        <v>0</v>
      </c>
      <c r="AE55" s="47">
        <f t="shared" si="31"/>
        <v>0</v>
      </c>
    </row>
    <row r="56" spans="1:41" s="40" customFormat="1" ht="13.5" customHeight="1">
      <c r="A56" s="47"/>
      <c r="B56" s="47"/>
      <c r="C56" s="47"/>
      <c r="D56" s="2007" t="str">
        <f>IF(Y44&gt;=5,(VLOOKUP(5,Y29:AI43,3,FALSE)),"None")</f>
        <v>None</v>
      </c>
      <c r="E56" s="2007"/>
      <c r="F56" s="2007"/>
      <c r="G56" s="2007"/>
      <c r="H56" s="2007"/>
      <c r="I56" s="1"/>
      <c r="J56" s="1"/>
      <c r="K56" s="823"/>
      <c r="L56" s="824"/>
      <c r="M56" s="824"/>
      <c r="N56" s="824"/>
      <c r="O56" s="824"/>
      <c r="P56" s="824"/>
      <c r="Q56" s="825"/>
      <c r="R56"/>
      <c r="T56" s="47">
        <f>IF(D56&lt;&gt;"None",1,0)</f>
        <v>0</v>
      </c>
      <c r="U56" s="15">
        <f>COUNTIF(K56:Q56,"&lt;&gt;")</f>
        <v>0</v>
      </c>
      <c r="V56" s="8"/>
      <c r="W56" s="8"/>
      <c r="X56" s="10"/>
      <c r="Y56" s="47">
        <f t="shared" si="26"/>
        <v>0</v>
      </c>
      <c r="Z56" s="47">
        <f t="shared" si="27"/>
        <v>0</v>
      </c>
      <c r="AA56" s="47">
        <f t="shared" si="28"/>
        <v>0</v>
      </c>
      <c r="AB56" s="47"/>
      <c r="AC56" s="47">
        <f t="shared" si="29"/>
        <v>0</v>
      </c>
      <c r="AD56" s="47">
        <f t="shared" si="30"/>
        <v>0</v>
      </c>
      <c r="AE56" s="47">
        <f t="shared" si="31"/>
        <v>0</v>
      </c>
      <c r="AF56" s="10"/>
      <c r="AG56" s="10"/>
      <c r="AH56" s="10"/>
      <c r="AI56" s="10"/>
      <c r="AJ56" s="10"/>
      <c r="AK56" s="10"/>
      <c r="AL56" s="10"/>
      <c r="AM56" s="10"/>
      <c r="AN56" s="172"/>
      <c r="AO56" s="172"/>
    </row>
    <row r="57" spans="1:41" ht="4.5" customHeight="1" thickBot="1">
      <c r="A57" s="47"/>
      <c r="B57" s="47"/>
      <c r="C57" s="47"/>
      <c r="D57" s="47"/>
      <c r="E57" s="47"/>
      <c r="F57" s="47"/>
      <c r="G57" s="47"/>
      <c r="H57" s="47"/>
      <c r="I57" s="47"/>
      <c r="J57" s="47"/>
      <c r="K57" s="47"/>
      <c r="L57" s="47"/>
      <c r="M57" s="47"/>
      <c r="N57" s="47"/>
      <c r="O57" s="47"/>
      <c r="P57" s="47"/>
      <c r="Q57" s="47"/>
      <c r="T57" s="47"/>
      <c r="U57" s="15"/>
      <c r="V57" s="39"/>
      <c r="W57" s="39"/>
      <c r="X57" s="99"/>
      <c r="Y57" s="47"/>
      <c r="Z57" s="47"/>
      <c r="AA57" s="47"/>
      <c r="AB57" s="47"/>
      <c r="AC57" s="47"/>
      <c r="AD57" s="47"/>
      <c r="AE57" s="47"/>
      <c r="AF57" s="99"/>
      <c r="AG57" s="99"/>
      <c r="AH57" s="99"/>
      <c r="AI57" s="99"/>
      <c r="AJ57" s="99"/>
      <c r="AK57" s="99"/>
      <c r="AL57" s="13"/>
      <c r="AM57" s="13"/>
      <c r="AN57" s="49"/>
      <c r="AO57" s="49"/>
    </row>
    <row r="58" spans="1:41" ht="13.5" customHeight="1" thickTop="1" thickBot="1">
      <c r="C58" s="13"/>
      <c r="D58" s="2011" t="s">
        <v>7</v>
      </c>
      <c r="E58" s="2011"/>
      <c r="F58" s="2011"/>
      <c r="G58" s="2011"/>
      <c r="H58" s="2011"/>
      <c r="I58" s="2011"/>
      <c r="J58" s="588"/>
      <c r="K58" s="1052" t="str">
        <f t="shared" ref="K58:Q58" si="32">IFERROR(K43/SUM(K46:K50,K52:K56),"")</f>
        <v/>
      </c>
      <c r="L58" s="1053" t="str">
        <f t="shared" si="32"/>
        <v/>
      </c>
      <c r="M58" s="1053" t="str">
        <f t="shared" si="32"/>
        <v/>
      </c>
      <c r="N58" s="1053" t="str">
        <f t="shared" si="32"/>
        <v/>
      </c>
      <c r="O58" s="1053" t="str">
        <f t="shared" si="32"/>
        <v/>
      </c>
      <c r="P58" s="1053" t="str">
        <f t="shared" si="32"/>
        <v/>
      </c>
      <c r="Q58" s="1054" t="str">
        <f t="shared" si="32"/>
        <v/>
      </c>
      <c r="T58" s="712">
        <f>SUM(T52:T57)</f>
        <v>0</v>
      </c>
      <c r="U58" s="15">
        <f>SUM(U52:U57)</f>
        <v>0</v>
      </c>
      <c r="V58" s="39"/>
      <c r="W58" s="39"/>
      <c r="X58" s="99"/>
      <c r="Y58" s="47"/>
      <c r="Z58" s="47"/>
      <c r="AA58" s="47">
        <f>SUM(AA52:AA57)</f>
        <v>0</v>
      </c>
      <c r="AB58" s="47"/>
      <c r="AC58" s="47"/>
      <c r="AD58" s="47"/>
      <c r="AE58" s="47">
        <f>SUM(AE52:AE57)</f>
        <v>0</v>
      </c>
      <c r="AF58" s="99"/>
      <c r="AG58" s="99"/>
      <c r="AH58" s="99"/>
      <c r="AI58" s="99"/>
      <c r="AJ58" s="99"/>
      <c r="AK58" s="99"/>
      <c r="AL58" s="13"/>
      <c r="AM58" s="13"/>
      <c r="AN58" s="49"/>
      <c r="AO58" s="49"/>
    </row>
    <row r="59" spans="1:41" ht="4.5" customHeight="1" thickTop="1">
      <c r="B59" s="15"/>
      <c r="D59" s="40"/>
      <c r="E59" s="40"/>
      <c r="F59" s="40"/>
      <c r="G59" s="40"/>
      <c r="H59" s="40"/>
      <c r="I59" s="40"/>
      <c r="J59" s="40"/>
      <c r="K59" s="585"/>
      <c r="L59" s="585"/>
      <c r="M59" s="585"/>
      <c r="N59" s="585"/>
      <c r="O59" s="585"/>
      <c r="P59" s="585"/>
      <c r="Q59" s="585"/>
      <c r="T59" s="47"/>
      <c r="U59" s="47"/>
      <c r="V59" s="39"/>
      <c r="W59" s="39"/>
      <c r="X59" s="99"/>
      <c r="Y59" s="99"/>
      <c r="Z59" s="99"/>
      <c r="AA59" s="99"/>
      <c r="AB59" s="99"/>
      <c r="AC59" s="99"/>
      <c r="AD59" s="99"/>
      <c r="AE59" s="99"/>
      <c r="AF59" s="99"/>
      <c r="AG59" s="99"/>
      <c r="AH59" s="99"/>
      <c r="AI59" s="99"/>
      <c r="AJ59" s="99"/>
      <c r="AK59" s="99"/>
      <c r="AL59" s="13"/>
      <c r="AM59" s="13"/>
      <c r="AN59" s="49"/>
      <c r="AO59" s="49"/>
    </row>
    <row r="60" spans="1:41" s="117" customFormat="1" ht="24" customHeight="1">
      <c r="C60" s="895"/>
      <c r="D60" s="895"/>
      <c r="E60" s="895"/>
      <c r="F60" s="895"/>
      <c r="G60" s="895"/>
      <c r="H60" s="895"/>
      <c r="I60" s="895"/>
      <c r="J60" s="895"/>
      <c r="K60" s="2017" t="str">
        <f>IF(AND(T67&gt;0,U67=0),"Input Debt Service for Cash Flow Permanent Loans","Cash Flow Loans")</f>
        <v>Cash Flow Loans</v>
      </c>
      <c r="L60" s="2017"/>
      <c r="M60" s="2017"/>
      <c r="N60" s="2017"/>
      <c r="R60"/>
      <c r="T60" s="47"/>
      <c r="U60" s="15"/>
      <c r="V60" s="644"/>
      <c r="W60" s="644"/>
      <c r="X60" s="379">
        <f>SUM(K45:K49)</f>
        <v>0</v>
      </c>
      <c r="Y60" s="379">
        <f t="shared" ref="Y60:AD60" si="33">SUM(L45:L49)</f>
        <v>0</v>
      </c>
      <c r="Z60" s="379">
        <f t="shared" si="33"/>
        <v>0</v>
      </c>
      <c r="AA60" s="379">
        <f t="shared" si="33"/>
        <v>0</v>
      </c>
      <c r="AB60" s="379">
        <f t="shared" si="33"/>
        <v>0</v>
      </c>
      <c r="AC60" s="379">
        <f t="shared" si="33"/>
        <v>0</v>
      </c>
      <c r="AD60" s="379">
        <f t="shared" si="33"/>
        <v>0</v>
      </c>
      <c r="AE60" s="645"/>
      <c r="AF60" s="645"/>
      <c r="AG60" s="645"/>
      <c r="AH60" s="645"/>
      <c r="AI60" s="645"/>
      <c r="AJ60" s="645"/>
      <c r="AK60" s="645"/>
      <c r="AL60" s="643"/>
      <c r="AM60" s="643"/>
      <c r="AN60" s="116"/>
      <c r="AO60" s="116"/>
    </row>
    <row r="61" spans="1:41" ht="13.5" customHeight="1">
      <c r="C61" s="13"/>
      <c r="D61" s="2007" t="str">
        <f>IF(X44&gt;=1,(VLOOKUP(1,X29:AJ43,4,FALSE)),"None")</f>
        <v>None</v>
      </c>
      <c r="E61" s="2007"/>
      <c r="F61" s="2007"/>
      <c r="G61" s="2007"/>
      <c r="H61" s="2007"/>
      <c r="I61" s="1"/>
      <c r="J61" s="1"/>
      <c r="K61" s="818"/>
      <c r="L61" s="819"/>
      <c r="M61" s="819"/>
      <c r="N61" s="819"/>
      <c r="O61" s="819"/>
      <c r="P61" s="819"/>
      <c r="Q61" s="820"/>
      <c r="T61" s="47">
        <f>IF(D61&lt;&gt;"None",1,0)</f>
        <v>0</v>
      </c>
      <c r="U61" s="15">
        <f>COUNTIF(K61:Q61,"&lt;&gt;")</f>
        <v>0</v>
      </c>
      <c r="V61" s="39"/>
      <c r="W61" s="39"/>
      <c r="X61" s="99"/>
      <c r="Y61" s="99"/>
      <c r="Z61" s="99"/>
      <c r="AA61" s="99"/>
      <c r="AB61" s="99"/>
      <c r="AC61" s="99"/>
      <c r="AD61" s="99"/>
      <c r="AE61" s="99"/>
      <c r="AF61" s="99"/>
      <c r="AG61" s="99"/>
      <c r="AH61" s="99"/>
      <c r="AI61" s="99"/>
      <c r="AJ61" s="99"/>
      <c r="AK61" s="99"/>
      <c r="AL61" s="13"/>
      <c r="AM61" s="13"/>
      <c r="AN61" s="49"/>
      <c r="AO61" s="49"/>
    </row>
    <row r="62" spans="1:41" ht="13.5" customHeight="1">
      <c r="C62" s="13"/>
      <c r="D62" s="2007" t="str">
        <f>IF(X44&gt;=2,(VLOOKUP(2,X29:AJ43,4,FALSE)),"None")</f>
        <v>None</v>
      </c>
      <c r="E62" s="2007"/>
      <c r="F62" s="2007"/>
      <c r="G62" s="2007"/>
      <c r="H62" s="2007"/>
      <c r="I62" s="1"/>
      <c r="J62" s="1"/>
      <c r="K62" s="821"/>
      <c r="L62" s="102"/>
      <c r="M62" s="102"/>
      <c r="N62" s="102"/>
      <c r="O62" s="102"/>
      <c r="P62" s="102"/>
      <c r="Q62" s="822"/>
      <c r="T62" s="47">
        <f>IF(D62&lt;&gt;"None",1,0)</f>
        <v>0</v>
      </c>
      <c r="U62" s="15">
        <f>COUNTIF(K62:Q62,"&lt;&gt;")</f>
        <v>0</v>
      </c>
      <c r="V62" s="39"/>
      <c r="W62" s="39"/>
      <c r="X62" s="99"/>
      <c r="Y62" s="99"/>
      <c r="Z62" s="99"/>
      <c r="AA62" s="99"/>
      <c r="AB62" s="99"/>
      <c r="AC62" s="99"/>
      <c r="AD62" s="99"/>
      <c r="AE62" s="99"/>
      <c r="AF62" s="99"/>
      <c r="AG62" s="99"/>
      <c r="AH62" s="99"/>
      <c r="AI62" s="99"/>
      <c r="AJ62" s="99"/>
      <c r="AK62" s="99"/>
      <c r="AL62" s="13"/>
      <c r="AM62" s="13"/>
      <c r="AN62" s="49"/>
      <c r="AO62" s="49"/>
    </row>
    <row r="63" spans="1:41" ht="13.5" customHeight="1">
      <c r="C63" s="13"/>
      <c r="D63" s="2007" t="str">
        <f>IF(X44&gt;=3,(VLOOKUP(3,X29:AJ43,4,FALSE)),"None")</f>
        <v>None</v>
      </c>
      <c r="E63" s="2007"/>
      <c r="F63" s="2007"/>
      <c r="G63" s="2007"/>
      <c r="H63" s="2007"/>
      <c r="I63" s="1"/>
      <c r="J63" s="1"/>
      <c r="K63" s="821"/>
      <c r="L63" s="102"/>
      <c r="M63" s="102"/>
      <c r="N63" s="102"/>
      <c r="O63" s="102"/>
      <c r="P63" s="102"/>
      <c r="Q63" s="822"/>
      <c r="T63" s="47">
        <f>IF(D63&lt;&gt;"None",1,0)</f>
        <v>0</v>
      </c>
      <c r="U63" s="15">
        <f>COUNTIF(K63:Q63,"&lt;&gt;")</f>
        <v>0</v>
      </c>
      <c r="V63" s="99"/>
      <c r="W63" s="112"/>
      <c r="X63" s="99"/>
      <c r="Y63" s="99"/>
      <c r="Z63" s="99"/>
      <c r="AA63" s="99"/>
      <c r="AB63" s="99"/>
      <c r="AC63" s="99"/>
      <c r="AD63" s="99"/>
      <c r="AE63" s="99"/>
      <c r="AF63" s="99"/>
      <c r="AG63" s="99"/>
      <c r="AH63" s="99"/>
      <c r="AI63" s="99"/>
      <c r="AJ63" s="99"/>
      <c r="AK63" s="99"/>
      <c r="AL63" s="13"/>
      <c r="AM63" s="13"/>
      <c r="AN63" s="49"/>
      <c r="AO63" s="49"/>
    </row>
    <row r="64" spans="1:41" ht="13.5" customHeight="1">
      <c r="C64" s="13"/>
      <c r="D64" s="2007" t="str">
        <f>IF(X44&gt;=4,(VLOOKUP(4,X29:AJ43,4,FALSE)),"None")</f>
        <v>None</v>
      </c>
      <c r="E64" s="2007"/>
      <c r="F64" s="2007"/>
      <c r="G64" s="2007"/>
      <c r="H64" s="2007"/>
      <c r="I64" s="1"/>
      <c r="J64" s="1"/>
      <c r="K64" s="821"/>
      <c r="L64" s="102"/>
      <c r="M64" s="102"/>
      <c r="N64" s="102"/>
      <c r="O64" s="102"/>
      <c r="P64" s="102"/>
      <c r="Q64" s="822"/>
      <c r="T64" s="47">
        <f>IF(D64&lt;&gt;"None",1,0)</f>
        <v>0</v>
      </c>
      <c r="U64" s="15">
        <f>COUNTIF(K64:Q64,"&lt;&gt;")</f>
        <v>0</v>
      </c>
      <c r="V64" s="99"/>
      <c r="W64" s="112"/>
      <c r="X64" s="99"/>
      <c r="Y64" s="99"/>
      <c r="Z64" s="99"/>
      <c r="AA64" s="99"/>
      <c r="AB64" s="99"/>
      <c r="AC64" s="99"/>
      <c r="AD64" s="99"/>
      <c r="AE64" s="99"/>
      <c r="AF64" s="99"/>
      <c r="AG64" s="99"/>
      <c r="AH64" s="99"/>
      <c r="AI64" s="99"/>
      <c r="AJ64" s="99"/>
      <c r="AK64" s="99"/>
      <c r="AL64" s="13"/>
      <c r="AM64" s="13"/>
      <c r="AN64" s="49"/>
      <c r="AO64" s="49"/>
    </row>
    <row r="65" spans="3:41" ht="13.5" customHeight="1">
      <c r="C65" s="13"/>
      <c r="D65" s="2007" t="str">
        <f>IF(X44&gt;=5,(VLOOKUP(5,X29:AJ43,4,FALSE)),"None")</f>
        <v>None</v>
      </c>
      <c r="E65" s="2007"/>
      <c r="F65" s="2007"/>
      <c r="G65" s="2007"/>
      <c r="H65" s="2007"/>
      <c r="I65" s="1"/>
      <c r="J65" s="1"/>
      <c r="K65" s="823"/>
      <c r="L65" s="824"/>
      <c r="M65" s="824"/>
      <c r="N65" s="824"/>
      <c r="O65" s="824"/>
      <c r="P65" s="824"/>
      <c r="Q65" s="825"/>
      <c r="T65" s="47">
        <f>IF(D65&lt;&gt;"None",1,0)</f>
        <v>0</v>
      </c>
      <c r="U65" s="15">
        <f>COUNTIF(K65:Q65,"&lt;&gt;")</f>
        <v>0</v>
      </c>
      <c r="V65" s="99"/>
      <c r="W65" s="112"/>
      <c r="X65" s="99"/>
      <c r="Y65" s="99"/>
      <c r="Z65" s="99"/>
      <c r="AA65" s="99"/>
      <c r="AB65" s="99"/>
      <c r="AC65" s="99"/>
      <c r="AD65" s="99"/>
      <c r="AE65" s="99"/>
      <c r="AF65" s="99"/>
      <c r="AG65" s="99"/>
      <c r="AH65" s="99"/>
      <c r="AI65" s="99"/>
      <c r="AJ65" s="99"/>
      <c r="AK65" s="99"/>
      <c r="AL65" s="13"/>
      <c r="AM65" s="13"/>
      <c r="AN65" s="49"/>
      <c r="AO65" s="49"/>
    </row>
    <row r="66" spans="3:41" ht="4.5" customHeight="1" thickBot="1">
      <c r="C66" s="13"/>
      <c r="T66" s="47"/>
      <c r="U66" s="15"/>
      <c r="V66" s="99"/>
      <c r="W66" s="112"/>
      <c r="X66" s="99"/>
      <c r="Y66" s="99"/>
      <c r="Z66" s="99"/>
      <c r="AA66" s="99"/>
      <c r="AB66" s="99"/>
      <c r="AC66" s="99"/>
      <c r="AD66" s="99"/>
      <c r="AE66" s="99"/>
      <c r="AF66" s="99"/>
      <c r="AG66" s="99"/>
      <c r="AH66" s="99"/>
      <c r="AI66" s="99"/>
      <c r="AJ66" s="99"/>
      <c r="AK66" s="99"/>
      <c r="AL66" s="13"/>
      <c r="AM66" s="13"/>
      <c r="AN66" s="49"/>
      <c r="AO66" s="49"/>
    </row>
    <row r="67" spans="3:41" ht="12.75" customHeight="1" thickTop="1" thickBot="1">
      <c r="C67" s="13"/>
      <c r="D67" s="1863" t="s">
        <v>56</v>
      </c>
      <c r="E67" s="1863"/>
      <c r="F67" s="1863"/>
      <c r="G67" s="1863"/>
      <c r="H67" s="1863"/>
      <c r="I67" s="1863"/>
      <c r="J67" s="67"/>
      <c r="K67" s="988">
        <f>K43-SUM(K46:K50,K52:K56,K61:K65)</f>
        <v>0</v>
      </c>
      <c r="L67" s="989">
        <f t="shared" ref="L67:Q67" si="34">L43-SUM(L46:L50,L52:L56,L61:L65)</f>
        <v>0</v>
      </c>
      <c r="M67" s="989">
        <f t="shared" si="34"/>
        <v>0</v>
      </c>
      <c r="N67" s="989">
        <f t="shared" si="34"/>
        <v>0</v>
      </c>
      <c r="O67" s="989">
        <f t="shared" si="34"/>
        <v>0</v>
      </c>
      <c r="P67" s="989">
        <f t="shared" si="34"/>
        <v>0</v>
      </c>
      <c r="Q67" s="990">
        <f t="shared" si="34"/>
        <v>0</v>
      </c>
      <c r="T67" s="712">
        <f>SUM(T61:T66)</f>
        <v>0</v>
      </c>
      <c r="U67" s="15">
        <f>SUM(U61:U66)</f>
        <v>0</v>
      </c>
      <c r="V67" s="99"/>
      <c r="W67" s="112"/>
      <c r="X67" s="99"/>
      <c r="Y67" s="99"/>
      <c r="Z67" s="99"/>
      <c r="AA67" s="99"/>
      <c r="AB67" s="99"/>
      <c r="AC67" s="99"/>
      <c r="AD67" s="99"/>
      <c r="AE67" s="99"/>
      <c r="AF67" s="99"/>
      <c r="AG67" s="99"/>
      <c r="AH67" s="99"/>
      <c r="AI67" s="99"/>
      <c r="AJ67" s="99"/>
      <c r="AK67" s="99"/>
      <c r="AL67" s="13"/>
      <c r="AM67" s="13"/>
      <c r="AN67" s="49"/>
      <c r="AO67" s="49"/>
    </row>
    <row r="68" spans="3:41" ht="11.25" customHeight="1" thickTop="1">
      <c r="C68" s="13"/>
      <c r="S68" s="13"/>
      <c r="T68" s="79"/>
      <c r="U68" s="133"/>
      <c r="V68" s="99"/>
      <c r="W68" s="112"/>
      <c r="X68" s="99"/>
      <c r="Y68" s="99"/>
      <c r="Z68" s="99"/>
      <c r="AA68" s="99"/>
      <c r="AB68" s="99"/>
      <c r="AC68" s="99"/>
      <c r="AD68" s="99"/>
      <c r="AE68" s="99"/>
      <c r="AF68" s="99"/>
      <c r="AG68" s="99"/>
      <c r="AH68" s="99"/>
      <c r="AI68" s="99"/>
      <c r="AJ68" s="99"/>
      <c r="AK68" s="99"/>
      <c r="AL68" s="13"/>
      <c r="AM68" s="13"/>
      <c r="AN68" s="49"/>
      <c r="AO68" s="49"/>
    </row>
    <row r="69" spans="3:41" ht="11.25" customHeight="1">
      <c r="C69" s="13"/>
      <c r="D69" s="13"/>
      <c r="E69" s="13"/>
      <c r="F69" s="13"/>
      <c r="G69" s="13"/>
      <c r="H69" s="13"/>
      <c r="I69" s="13"/>
      <c r="J69" s="13"/>
      <c r="K69" s="13"/>
      <c r="L69" s="13"/>
      <c r="M69" s="13"/>
      <c r="N69" s="13"/>
      <c r="O69" s="13"/>
      <c r="P69" s="13"/>
      <c r="Q69" s="13"/>
      <c r="S69" s="13"/>
      <c r="T69" s="79"/>
      <c r="U69" s="133"/>
      <c r="V69" s="99"/>
      <c r="W69" s="112"/>
      <c r="X69" s="99"/>
      <c r="Y69" s="99"/>
      <c r="Z69" s="99"/>
      <c r="AA69" s="99"/>
      <c r="AB69" s="99"/>
      <c r="AC69" s="99"/>
      <c r="AD69" s="99"/>
      <c r="AE69" s="99"/>
      <c r="AF69" s="99"/>
      <c r="AG69" s="99"/>
      <c r="AH69" s="99"/>
      <c r="AI69" s="99"/>
      <c r="AJ69" s="99"/>
      <c r="AK69" s="99"/>
      <c r="AL69" s="13"/>
      <c r="AM69" s="13"/>
      <c r="AN69" s="49"/>
      <c r="AO69" s="49"/>
    </row>
    <row r="70" spans="3:41" ht="11.25" customHeight="1">
      <c r="C70" s="13"/>
      <c r="D70" s="13"/>
      <c r="E70" s="13"/>
      <c r="F70" s="13"/>
      <c r="G70" s="13"/>
      <c r="H70" s="13"/>
      <c r="I70" s="13"/>
      <c r="J70" s="13"/>
      <c r="K70" s="13"/>
      <c r="L70" s="13"/>
      <c r="M70" s="13"/>
      <c r="N70" s="13"/>
      <c r="O70" s="13"/>
      <c r="P70" s="13"/>
      <c r="Q70" s="13"/>
      <c r="S70" s="13"/>
      <c r="T70" s="79"/>
      <c r="U70" s="133"/>
      <c r="V70" s="99"/>
      <c r="W70" s="112"/>
      <c r="X70" s="99"/>
      <c r="Y70" s="99"/>
      <c r="Z70" s="99"/>
      <c r="AA70" s="99"/>
      <c r="AB70" s="99"/>
      <c r="AC70" s="99"/>
      <c r="AD70" s="99"/>
      <c r="AE70" s="99"/>
      <c r="AF70" s="99"/>
      <c r="AG70" s="99"/>
      <c r="AH70" s="99"/>
      <c r="AI70" s="99"/>
      <c r="AJ70" s="99"/>
      <c r="AK70" s="99"/>
      <c r="AL70" s="13"/>
      <c r="AM70" s="13"/>
      <c r="AN70" s="49"/>
      <c r="AO70" s="49"/>
    </row>
    <row r="71" spans="3:41" ht="11.25" customHeight="1">
      <c r="C71" s="13"/>
      <c r="D71" s="13"/>
      <c r="E71" s="13"/>
      <c r="F71" s="13"/>
      <c r="G71" s="13"/>
      <c r="H71" s="13"/>
      <c r="I71" s="13"/>
      <c r="J71" s="13"/>
      <c r="K71" s="13"/>
      <c r="L71" s="13"/>
      <c r="M71" s="13"/>
      <c r="N71" s="13"/>
      <c r="O71" s="13"/>
      <c r="P71" s="13"/>
      <c r="Q71" s="13"/>
      <c r="S71" s="13"/>
      <c r="T71" s="79"/>
      <c r="U71" s="133"/>
      <c r="V71" s="99"/>
      <c r="W71" s="99"/>
      <c r="X71" s="133"/>
      <c r="Y71" s="133"/>
      <c r="Z71" s="133"/>
      <c r="AA71" s="133"/>
      <c r="AB71" s="99"/>
      <c r="AC71" s="99"/>
      <c r="AD71" s="99"/>
      <c r="AE71" s="99"/>
      <c r="AF71" s="99"/>
      <c r="AG71" s="99"/>
      <c r="AH71" s="99"/>
      <c r="AI71" s="99"/>
      <c r="AJ71" s="99"/>
      <c r="AK71" s="99"/>
      <c r="AL71" s="13"/>
      <c r="AM71" s="13"/>
      <c r="AN71" s="49"/>
      <c r="AO71" s="49"/>
    </row>
    <row r="72" spans="3:41" ht="13.5" customHeight="1">
      <c r="C72" s="13"/>
      <c r="D72" s="13"/>
      <c r="E72" s="13"/>
      <c r="F72" s="13"/>
      <c r="G72" s="13"/>
      <c r="H72" s="13"/>
      <c r="I72" s="13"/>
      <c r="J72" s="13"/>
      <c r="K72" s="13"/>
      <c r="L72" s="13"/>
      <c r="M72" s="13"/>
      <c r="N72" s="13"/>
      <c r="O72" s="13"/>
      <c r="P72" s="13"/>
      <c r="Q72" s="13"/>
      <c r="S72" s="13"/>
      <c r="T72" s="79"/>
      <c r="U72" s="133"/>
      <c r="V72" s="133"/>
      <c r="W72" s="133"/>
      <c r="X72" s="99"/>
      <c r="Y72" s="99"/>
      <c r="Z72" s="99"/>
      <c r="AA72" s="99"/>
      <c r="AB72" s="99"/>
      <c r="AC72" s="99"/>
      <c r="AD72" s="99"/>
      <c r="AE72" s="99"/>
      <c r="AF72" s="99"/>
      <c r="AG72" s="99"/>
      <c r="AH72" s="99"/>
      <c r="AI72" s="99"/>
      <c r="AJ72" s="99"/>
      <c r="AK72" s="99"/>
      <c r="AL72" s="13"/>
      <c r="AM72" s="13"/>
      <c r="AN72" s="49"/>
      <c r="AO72" s="49"/>
    </row>
    <row r="73" spans="3:41" ht="21" customHeight="1">
      <c r="C73" s="13"/>
      <c r="D73" s="13"/>
      <c r="E73" s="13"/>
      <c r="F73" s="13"/>
      <c r="G73" s="13"/>
      <c r="H73" s="13"/>
      <c r="I73" s="13"/>
      <c r="J73" s="13"/>
      <c r="K73" s="13"/>
      <c r="L73" s="13"/>
      <c r="M73" s="13"/>
      <c r="N73" s="13"/>
      <c r="O73" s="13"/>
      <c r="P73" s="13"/>
      <c r="Q73" s="13"/>
      <c r="S73" s="13"/>
      <c r="T73" s="79"/>
      <c r="U73" s="133"/>
      <c r="V73" s="99"/>
      <c r="W73" s="99"/>
      <c r="X73" s="99"/>
      <c r="Y73" s="99"/>
      <c r="Z73" s="99"/>
      <c r="AA73" s="99"/>
      <c r="AB73" s="99"/>
      <c r="AC73" s="99"/>
      <c r="AD73" s="99"/>
      <c r="AE73" s="99"/>
      <c r="AF73" s="99"/>
      <c r="AG73" s="99"/>
      <c r="AH73" s="99"/>
      <c r="AI73" s="99"/>
      <c r="AJ73" s="99"/>
      <c r="AK73" s="99"/>
      <c r="AL73" s="13"/>
      <c r="AM73" s="13"/>
      <c r="AN73" s="49"/>
      <c r="AO73" s="49"/>
    </row>
    <row r="74" spans="3:41" ht="13.5" customHeight="1">
      <c r="C74" s="13"/>
      <c r="D74" s="13"/>
      <c r="E74" s="13"/>
      <c r="F74" s="13"/>
      <c r="G74" s="13"/>
      <c r="H74" s="13"/>
      <c r="I74" s="13"/>
      <c r="J74" s="13"/>
      <c r="K74" s="13"/>
      <c r="L74" s="13"/>
      <c r="M74" s="13"/>
      <c r="N74" s="13"/>
      <c r="O74" s="13"/>
      <c r="P74" s="13"/>
      <c r="Q74" s="13"/>
      <c r="S74" s="13"/>
      <c r="T74" s="79"/>
      <c r="U74" s="133"/>
      <c r="V74" s="99"/>
      <c r="W74" s="99"/>
      <c r="X74" s="99"/>
      <c r="Y74" s="99"/>
      <c r="Z74" s="99"/>
      <c r="AA74" s="99"/>
      <c r="AB74" s="99"/>
      <c r="AC74" s="99"/>
      <c r="AD74" s="99"/>
      <c r="AE74" s="99"/>
      <c r="AF74" s="99"/>
      <c r="AG74" s="99"/>
      <c r="AH74" s="99"/>
      <c r="AI74" s="99"/>
      <c r="AJ74" s="99"/>
      <c r="AK74" s="99"/>
      <c r="AL74" s="13"/>
      <c r="AM74" s="13"/>
      <c r="AN74" s="49"/>
      <c r="AO74" s="49"/>
    </row>
    <row r="75" spans="3:41" ht="13.5" customHeight="1">
      <c r="C75" s="13"/>
      <c r="D75" s="13"/>
      <c r="E75" s="13"/>
      <c r="F75" s="13"/>
      <c r="G75" s="13"/>
      <c r="H75" s="13"/>
      <c r="I75" s="13"/>
      <c r="J75" s="13"/>
      <c r="K75" s="13"/>
      <c r="L75" s="13"/>
      <c r="M75" s="13"/>
      <c r="N75" s="13"/>
      <c r="O75" s="13"/>
      <c r="P75" s="13"/>
      <c r="Q75" s="13"/>
      <c r="S75" s="13"/>
      <c r="T75" s="79"/>
      <c r="U75" s="133"/>
      <c r="V75" s="99"/>
      <c r="W75" s="99"/>
      <c r="X75" s="99"/>
      <c r="Y75" s="99"/>
      <c r="Z75" s="99"/>
      <c r="AA75" s="99"/>
      <c r="AB75" s="99"/>
      <c r="AC75" s="99"/>
      <c r="AD75" s="99"/>
      <c r="AE75" s="99"/>
      <c r="AF75" s="99"/>
      <c r="AG75" s="99"/>
      <c r="AH75" s="99"/>
      <c r="AI75" s="99"/>
      <c r="AJ75" s="99"/>
      <c r="AK75" s="99"/>
      <c r="AL75" s="13"/>
      <c r="AM75" s="13"/>
      <c r="AN75" s="49"/>
      <c r="AO75" s="49"/>
    </row>
    <row r="76" spans="3:41" ht="11.25" customHeight="1">
      <c r="C76" s="13"/>
      <c r="D76" s="13"/>
      <c r="E76" s="13"/>
      <c r="F76" s="13"/>
      <c r="G76" s="13"/>
      <c r="H76" s="13"/>
      <c r="I76" s="13"/>
      <c r="J76" s="13"/>
      <c r="K76" s="13"/>
      <c r="L76" s="13"/>
      <c r="M76" s="13"/>
      <c r="N76" s="13"/>
      <c r="O76" s="13"/>
      <c r="P76" s="13"/>
      <c r="Q76" s="13"/>
      <c r="S76" s="13"/>
      <c r="T76" s="79"/>
      <c r="U76" s="133"/>
      <c r="V76" s="99"/>
      <c r="W76" s="99"/>
      <c r="X76" s="99"/>
      <c r="Y76" s="99"/>
      <c r="Z76" s="99"/>
      <c r="AA76" s="99"/>
      <c r="AB76" s="99"/>
      <c r="AC76" s="99"/>
      <c r="AD76" s="99"/>
      <c r="AE76" s="99"/>
      <c r="AF76" s="99"/>
      <c r="AG76" s="99"/>
      <c r="AH76" s="99"/>
      <c r="AI76" s="99"/>
      <c r="AJ76" s="99"/>
      <c r="AK76" s="99"/>
      <c r="AL76" s="13"/>
      <c r="AM76" s="13"/>
      <c r="AN76" s="49"/>
      <c r="AO76" s="49"/>
    </row>
    <row r="77" spans="3:41" ht="11.25" customHeight="1">
      <c r="C77" s="13"/>
      <c r="D77" s="13"/>
      <c r="E77" s="13"/>
      <c r="F77" s="13"/>
      <c r="G77" s="13"/>
      <c r="H77" s="13"/>
      <c r="I77" s="13"/>
      <c r="J77" s="13"/>
      <c r="K77" s="13"/>
      <c r="L77" s="13"/>
      <c r="M77" s="13"/>
      <c r="N77" s="13"/>
      <c r="O77" s="13"/>
      <c r="P77" s="13"/>
      <c r="Q77" s="13"/>
      <c r="S77" s="13"/>
      <c r="T77" s="79"/>
      <c r="U77" s="133"/>
      <c r="V77" s="99"/>
      <c r="W77" s="99"/>
      <c r="X77" s="99"/>
      <c r="Y77" s="99"/>
      <c r="Z77" s="99"/>
      <c r="AA77" s="99"/>
      <c r="AB77" s="99"/>
      <c r="AC77" s="99"/>
      <c r="AD77" s="99"/>
      <c r="AE77" s="99"/>
      <c r="AF77" s="99"/>
      <c r="AG77" s="99"/>
      <c r="AH77" s="99"/>
      <c r="AI77" s="99"/>
      <c r="AJ77" s="99"/>
      <c r="AK77" s="99"/>
      <c r="AL77" s="13"/>
      <c r="AM77" s="13"/>
      <c r="AN77" s="49"/>
      <c r="AO77" s="49"/>
    </row>
    <row r="78" spans="3:41" ht="11.25" customHeight="1">
      <c r="C78" s="13"/>
      <c r="D78" s="13"/>
      <c r="E78" s="13"/>
      <c r="F78" s="13"/>
      <c r="G78" s="13"/>
      <c r="H78" s="13"/>
      <c r="I78" s="13"/>
      <c r="J78" s="13"/>
      <c r="K78" s="13"/>
      <c r="L78" s="13"/>
      <c r="M78" s="13"/>
      <c r="N78" s="13"/>
      <c r="O78" s="13"/>
      <c r="P78" s="13"/>
      <c r="Q78" s="13"/>
      <c r="S78" s="13"/>
      <c r="T78" s="79"/>
      <c r="U78" s="133"/>
      <c r="V78" s="99"/>
      <c r="W78" s="99"/>
      <c r="X78" s="99"/>
      <c r="Y78" s="99"/>
      <c r="Z78" s="99"/>
      <c r="AA78" s="99"/>
      <c r="AB78" s="99"/>
      <c r="AC78" s="99"/>
      <c r="AD78" s="99"/>
      <c r="AE78" s="99"/>
      <c r="AF78" s="99"/>
      <c r="AG78" s="99"/>
      <c r="AH78" s="99"/>
      <c r="AI78" s="99"/>
      <c r="AJ78" s="99"/>
      <c r="AK78" s="99"/>
      <c r="AL78" s="13"/>
      <c r="AM78" s="13"/>
      <c r="AN78" s="49"/>
      <c r="AO78" s="49"/>
    </row>
    <row r="79" spans="3:41" ht="11.25" customHeight="1">
      <c r="C79" s="13"/>
      <c r="D79" s="13"/>
      <c r="E79" s="13"/>
      <c r="F79" s="13"/>
      <c r="G79" s="13"/>
      <c r="H79" s="13"/>
      <c r="I79" s="13"/>
      <c r="J79" s="13"/>
      <c r="K79" s="13"/>
      <c r="L79" s="13"/>
      <c r="M79" s="13"/>
      <c r="N79" s="13"/>
      <c r="O79" s="13"/>
      <c r="P79" s="13"/>
      <c r="Q79" s="13"/>
      <c r="S79" s="13"/>
      <c r="T79" s="79"/>
      <c r="U79" s="133"/>
      <c r="V79" s="99"/>
      <c r="W79" s="99"/>
      <c r="X79" s="99"/>
      <c r="Y79" s="99"/>
      <c r="Z79" s="99"/>
      <c r="AA79" s="99"/>
      <c r="AB79" s="99"/>
      <c r="AC79" s="99"/>
      <c r="AD79" s="99"/>
      <c r="AE79" s="99"/>
      <c r="AF79" s="99"/>
      <c r="AG79" s="99"/>
      <c r="AH79" s="99"/>
      <c r="AI79" s="99"/>
      <c r="AJ79" s="99"/>
      <c r="AK79" s="99"/>
      <c r="AL79" s="13"/>
      <c r="AM79" s="13"/>
      <c r="AN79" s="49"/>
      <c r="AO79" s="49"/>
    </row>
    <row r="80" spans="3:41" ht="11.25" customHeight="1">
      <c r="C80" s="13"/>
      <c r="D80" s="13"/>
      <c r="E80" s="13"/>
      <c r="F80" s="13"/>
      <c r="G80" s="13"/>
      <c r="H80" s="13"/>
      <c r="I80" s="13"/>
      <c r="J80" s="13"/>
      <c r="K80" s="13"/>
      <c r="L80" s="13"/>
      <c r="M80" s="13"/>
      <c r="N80" s="13"/>
      <c r="O80" s="13"/>
      <c r="P80" s="13"/>
      <c r="Q80" s="13"/>
      <c r="S80" s="13"/>
      <c r="T80" s="79"/>
      <c r="U80" s="133"/>
      <c r="V80" s="99"/>
      <c r="W80" s="99"/>
      <c r="X80" s="99"/>
      <c r="Y80" s="99"/>
      <c r="Z80" s="99"/>
      <c r="AA80" s="99"/>
      <c r="AB80" s="99"/>
      <c r="AC80" s="99"/>
      <c r="AD80" s="99"/>
      <c r="AE80" s="99"/>
      <c r="AF80" s="99"/>
      <c r="AG80" s="99"/>
      <c r="AH80" s="99"/>
      <c r="AI80" s="99"/>
      <c r="AJ80" s="99"/>
      <c r="AK80" s="99"/>
      <c r="AL80" s="13"/>
      <c r="AM80" s="13"/>
      <c r="AN80" s="49"/>
      <c r="AO80" s="49"/>
    </row>
    <row r="81" spans="3:41" ht="11.25" customHeight="1">
      <c r="C81" s="13"/>
      <c r="D81" s="13"/>
      <c r="E81" s="13"/>
      <c r="F81" s="13"/>
      <c r="G81" s="13"/>
      <c r="H81" s="13"/>
      <c r="I81" s="13"/>
      <c r="J81" s="13"/>
      <c r="K81" s="13"/>
      <c r="L81" s="13"/>
      <c r="M81" s="13"/>
      <c r="N81" s="13"/>
      <c r="O81" s="13"/>
      <c r="P81" s="13"/>
      <c r="Q81" s="13"/>
      <c r="S81" s="13"/>
      <c r="T81" s="79"/>
      <c r="U81" s="133"/>
      <c r="V81" s="99"/>
      <c r="W81" s="99"/>
      <c r="X81" s="99"/>
      <c r="Y81" s="99"/>
      <c r="Z81" s="99"/>
      <c r="AA81" s="99"/>
      <c r="AB81" s="99"/>
      <c r="AC81" s="99"/>
      <c r="AD81" s="99"/>
      <c r="AE81" s="99"/>
      <c r="AF81" s="99"/>
      <c r="AG81" s="99"/>
      <c r="AH81" s="99"/>
      <c r="AI81" s="99"/>
      <c r="AJ81" s="99"/>
      <c r="AK81" s="99"/>
      <c r="AL81" s="13"/>
      <c r="AM81" s="13"/>
      <c r="AN81" s="49"/>
      <c r="AO81" s="49"/>
    </row>
    <row r="82" spans="3:41" ht="11.25" customHeight="1">
      <c r="C82" s="13"/>
      <c r="D82" s="13"/>
      <c r="E82" s="13"/>
      <c r="F82" s="13"/>
      <c r="G82" s="13"/>
      <c r="H82" s="13"/>
      <c r="I82" s="13"/>
      <c r="J82" s="13"/>
      <c r="K82" s="13"/>
      <c r="L82" s="13"/>
      <c r="M82" s="13"/>
      <c r="N82" s="13"/>
      <c r="O82" s="13"/>
      <c r="P82" s="13"/>
      <c r="Q82" s="13"/>
      <c r="S82" s="13"/>
      <c r="T82" s="79"/>
      <c r="U82" s="133"/>
      <c r="V82" s="99"/>
      <c r="W82" s="99"/>
      <c r="X82" s="99"/>
      <c r="Y82" s="99"/>
      <c r="Z82" s="99"/>
      <c r="AA82" s="99"/>
      <c r="AB82" s="99"/>
      <c r="AC82" s="99"/>
      <c r="AD82" s="99"/>
      <c r="AE82" s="99"/>
      <c r="AF82" s="99"/>
      <c r="AG82" s="99"/>
      <c r="AH82" s="99"/>
      <c r="AI82" s="99"/>
      <c r="AJ82" s="99"/>
      <c r="AK82" s="99"/>
      <c r="AL82" s="13"/>
      <c r="AM82" s="13"/>
      <c r="AN82" s="49"/>
      <c r="AO82" s="49"/>
    </row>
    <row r="83" spans="3:41" ht="11.25" customHeight="1">
      <c r="C83" s="13"/>
      <c r="D83" s="13"/>
      <c r="E83" s="13"/>
      <c r="F83" s="13"/>
      <c r="G83" s="13"/>
      <c r="H83" s="13"/>
      <c r="I83" s="13"/>
      <c r="J83" s="13"/>
      <c r="K83" s="13"/>
      <c r="L83" s="13"/>
      <c r="M83" s="13"/>
      <c r="N83" s="13"/>
      <c r="O83" s="13"/>
      <c r="P83" s="13"/>
      <c r="Q83" s="13"/>
      <c r="S83" s="13"/>
      <c r="T83" s="79"/>
      <c r="U83" s="133"/>
      <c r="V83" s="99"/>
      <c r="W83" s="99"/>
      <c r="X83" s="99"/>
      <c r="Y83" s="99"/>
      <c r="Z83" s="99"/>
      <c r="AA83" s="99"/>
      <c r="AB83" s="99"/>
      <c r="AC83" s="99"/>
      <c r="AD83" s="99"/>
      <c r="AE83" s="99"/>
      <c r="AF83" s="99"/>
      <c r="AG83" s="99"/>
      <c r="AH83" s="99"/>
      <c r="AI83" s="99"/>
      <c r="AJ83" s="99"/>
      <c r="AK83" s="99"/>
      <c r="AL83" s="13"/>
      <c r="AM83" s="13"/>
      <c r="AN83" s="49"/>
      <c r="AO83" s="49"/>
    </row>
    <row r="84" spans="3:41" ht="11.25" customHeight="1">
      <c r="C84" s="13"/>
      <c r="D84" s="13"/>
      <c r="E84" s="13"/>
      <c r="F84" s="13"/>
      <c r="G84" s="13"/>
      <c r="H84" s="13"/>
      <c r="I84" s="13"/>
      <c r="J84" s="13"/>
      <c r="K84" s="13"/>
      <c r="L84" s="13"/>
      <c r="M84" s="13"/>
      <c r="N84" s="13"/>
      <c r="O84" s="13"/>
      <c r="P84" s="13"/>
      <c r="Q84" s="13"/>
      <c r="S84" s="13"/>
      <c r="T84" s="79"/>
      <c r="U84" s="133"/>
      <c r="V84" s="99"/>
      <c r="W84" s="99"/>
      <c r="X84" s="99"/>
      <c r="Y84" s="99"/>
      <c r="Z84" s="99"/>
      <c r="AA84" s="99"/>
      <c r="AB84" s="99"/>
      <c r="AC84" s="99"/>
      <c r="AD84" s="99"/>
      <c r="AE84" s="99"/>
      <c r="AF84" s="99"/>
      <c r="AG84" s="99"/>
      <c r="AH84" s="99"/>
      <c r="AI84" s="99"/>
      <c r="AJ84" s="99"/>
      <c r="AK84" s="99"/>
      <c r="AL84" s="13"/>
      <c r="AM84" s="13"/>
      <c r="AN84" s="49"/>
      <c r="AO84" s="49"/>
    </row>
    <row r="85" spans="3:41" ht="11.25" customHeight="1">
      <c r="C85" s="13"/>
      <c r="D85" s="13"/>
      <c r="E85" s="13"/>
      <c r="F85" s="13"/>
      <c r="G85" s="13"/>
      <c r="H85" s="13"/>
      <c r="I85" s="13"/>
      <c r="J85" s="13"/>
      <c r="K85" s="13"/>
      <c r="L85" s="13"/>
      <c r="M85" s="13"/>
      <c r="N85" s="13"/>
      <c r="O85" s="13"/>
      <c r="P85" s="13"/>
      <c r="Q85" s="13"/>
      <c r="S85" s="13"/>
      <c r="T85" s="79"/>
      <c r="U85" s="133"/>
      <c r="V85" s="99"/>
      <c r="W85" s="99"/>
      <c r="X85" s="99"/>
      <c r="Y85" s="99"/>
      <c r="Z85" s="99"/>
      <c r="AA85" s="99"/>
      <c r="AB85" s="99"/>
      <c r="AC85" s="99"/>
      <c r="AD85" s="99"/>
      <c r="AE85" s="99"/>
      <c r="AF85" s="99"/>
      <c r="AG85" s="99"/>
      <c r="AH85" s="99"/>
      <c r="AI85" s="99"/>
      <c r="AJ85" s="99"/>
      <c r="AK85" s="99"/>
      <c r="AL85" s="13"/>
      <c r="AM85" s="13"/>
      <c r="AN85" s="49"/>
      <c r="AO85" s="49"/>
    </row>
    <row r="86" spans="3:41" ht="11.25" customHeight="1">
      <c r="C86" s="13"/>
      <c r="D86" s="13"/>
      <c r="E86" s="13"/>
      <c r="F86" s="13"/>
      <c r="G86" s="13"/>
      <c r="H86" s="13"/>
      <c r="I86" s="13"/>
      <c r="J86" s="13"/>
      <c r="K86" s="13"/>
      <c r="L86" s="13"/>
      <c r="M86" s="13"/>
      <c r="N86" s="13"/>
      <c r="O86" s="13"/>
      <c r="P86" s="13"/>
      <c r="Q86" s="13"/>
      <c r="S86" s="13"/>
      <c r="T86" s="79"/>
      <c r="U86" s="133"/>
      <c r="V86" s="99"/>
      <c r="W86" s="99"/>
      <c r="X86" s="133"/>
      <c r="Y86" s="133"/>
      <c r="Z86" s="133"/>
      <c r="AA86" s="133"/>
      <c r="AB86" s="99"/>
      <c r="AC86" s="99"/>
      <c r="AD86" s="99"/>
      <c r="AE86" s="99"/>
      <c r="AF86" s="99"/>
      <c r="AG86" s="99"/>
      <c r="AH86" s="99"/>
      <c r="AI86" s="99"/>
      <c r="AJ86" s="99"/>
      <c r="AK86" s="99"/>
      <c r="AL86" s="13"/>
      <c r="AM86" s="13"/>
      <c r="AN86" s="49"/>
      <c r="AO86" s="49"/>
    </row>
    <row r="87" spans="3:41" ht="13.5" customHeight="1">
      <c r="C87" s="7"/>
      <c r="D87" s="7"/>
      <c r="E87" s="7"/>
      <c r="F87" s="7"/>
      <c r="G87" s="7"/>
      <c r="H87" s="7"/>
      <c r="I87" s="7"/>
      <c r="J87" s="7"/>
      <c r="K87" s="13"/>
      <c r="L87" s="13"/>
      <c r="M87" s="13"/>
      <c r="N87" s="13"/>
      <c r="O87" s="13"/>
      <c r="P87" s="13"/>
      <c r="Q87" s="13"/>
      <c r="S87" s="13"/>
      <c r="T87" s="79"/>
      <c r="U87" s="133"/>
      <c r="V87" s="133"/>
      <c r="W87" s="133"/>
      <c r="X87" s="99"/>
      <c r="Y87" s="99"/>
      <c r="Z87" s="99"/>
      <c r="AA87" s="99"/>
      <c r="AB87" s="99"/>
      <c r="AC87" s="99"/>
      <c r="AD87" s="99"/>
      <c r="AE87" s="99"/>
      <c r="AF87" s="99"/>
      <c r="AG87" s="99"/>
      <c r="AH87" s="99"/>
      <c r="AI87" s="99"/>
      <c r="AJ87" s="99"/>
      <c r="AK87" s="99"/>
      <c r="AL87" s="13"/>
      <c r="AM87" s="13"/>
      <c r="AN87" s="49"/>
      <c r="AO87" s="49"/>
    </row>
    <row r="88" spans="3:41" ht="28.5" customHeight="1">
      <c r="C88" s="7"/>
      <c r="D88" s="7"/>
      <c r="E88" s="7"/>
      <c r="F88" s="7"/>
      <c r="G88" s="7"/>
      <c r="H88" s="7"/>
      <c r="I88" s="7"/>
      <c r="J88" s="7"/>
      <c r="K88" s="13"/>
      <c r="L88" s="13"/>
      <c r="M88" s="13"/>
      <c r="N88" s="13"/>
      <c r="O88" s="13"/>
      <c r="P88" s="13"/>
      <c r="Q88" s="13"/>
      <c r="S88" s="13"/>
      <c r="T88" s="79"/>
      <c r="U88" s="133"/>
      <c r="V88" s="99"/>
      <c r="W88" s="99"/>
      <c r="X88" s="99"/>
      <c r="Y88" s="99"/>
      <c r="Z88" s="99"/>
      <c r="AA88" s="99"/>
      <c r="AB88" s="99"/>
      <c r="AC88" s="99"/>
      <c r="AD88" s="99"/>
      <c r="AE88" s="99"/>
      <c r="AF88" s="99"/>
      <c r="AG88" s="99"/>
      <c r="AH88" s="99"/>
      <c r="AI88" s="99"/>
      <c r="AJ88" s="99"/>
      <c r="AK88" s="99"/>
      <c r="AL88" s="13"/>
      <c r="AM88" s="13"/>
      <c r="AN88" s="49"/>
      <c r="AO88" s="49"/>
    </row>
    <row r="89" spans="3:41" ht="5.25" customHeight="1">
      <c r="C89" s="7"/>
      <c r="D89" s="7"/>
      <c r="E89" s="7"/>
      <c r="F89" s="7"/>
      <c r="G89" s="7"/>
      <c r="H89" s="7"/>
      <c r="I89" s="7"/>
      <c r="J89" s="7"/>
      <c r="K89" s="13"/>
      <c r="L89" s="13"/>
      <c r="M89" s="13"/>
      <c r="N89" s="13"/>
      <c r="O89" s="13"/>
      <c r="P89" s="13"/>
      <c r="Q89" s="13"/>
      <c r="S89" s="13"/>
      <c r="T89" s="79"/>
      <c r="U89" s="133"/>
      <c r="V89" s="99"/>
      <c r="W89" s="99"/>
      <c r="X89" s="99"/>
      <c r="Y89" s="99"/>
      <c r="Z89" s="99"/>
      <c r="AA89" s="99"/>
      <c r="AB89" s="99"/>
      <c r="AC89" s="99"/>
      <c r="AD89" s="99"/>
      <c r="AE89" s="99"/>
      <c r="AF89" s="99"/>
      <c r="AG89" s="99"/>
      <c r="AH89" s="99"/>
      <c r="AI89" s="99"/>
      <c r="AJ89" s="99"/>
      <c r="AK89" s="99"/>
      <c r="AL89" s="13"/>
      <c r="AM89" s="13"/>
      <c r="AN89" s="49"/>
      <c r="AO89" s="49"/>
    </row>
    <row r="90" spans="3:41" ht="13.5" customHeight="1">
      <c r="C90" s="7"/>
      <c r="D90" s="7"/>
      <c r="E90" s="7"/>
      <c r="F90" s="7"/>
      <c r="G90" s="7"/>
      <c r="H90" s="7"/>
      <c r="I90" s="7"/>
      <c r="J90" s="7"/>
      <c r="K90" s="13"/>
      <c r="L90" s="13"/>
      <c r="M90" s="13"/>
      <c r="N90" s="13"/>
      <c r="O90" s="13"/>
      <c r="P90" s="13"/>
      <c r="Q90" s="13"/>
      <c r="S90" s="13"/>
      <c r="T90" s="79"/>
      <c r="U90" s="133"/>
      <c r="V90" s="99"/>
      <c r="W90" s="99"/>
      <c r="X90" s="99"/>
      <c r="Y90" s="99"/>
      <c r="Z90" s="99"/>
      <c r="AA90" s="99"/>
      <c r="AB90" s="99"/>
      <c r="AC90" s="99"/>
      <c r="AD90" s="99"/>
      <c r="AE90" s="99"/>
      <c r="AF90" s="99"/>
      <c r="AG90" s="99"/>
      <c r="AH90" s="99"/>
      <c r="AI90" s="99"/>
      <c r="AJ90" s="99"/>
      <c r="AK90" s="99"/>
      <c r="AL90" s="13"/>
      <c r="AM90" s="13"/>
      <c r="AN90" s="49"/>
      <c r="AO90" s="49"/>
    </row>
    <row r="91" spans="3:41" ht="13.5" customHeight="1">
      <c r="C91" s="7"/>
      <c r="D91" s="7"/>
      <c r="E91" s="7"/>
      <c r="F91" s="7"/>
      <c r="G91" s="7"/>
      <c r="H91" s="7"/>
      <c r="I91" s="7"/>
      <c r="J91" s="7"/>
      <c r="K91" s="13"/>
      <c r="L91" s="13"/>
      <c r="M91" s="13"/>
      <c r="N91" s="13"/>
      <c r="O91" s="13"/>
      <c r="P91" s="13"/>
      <c r="Q91" s="13"/>
      <c r="S91" s="13"/>
      <c r="T91" s="79"/>
      <c r="U91" s="133"/>
      <c r="V91" s="99"/>
      <c r="W91" s="99"/>
      <c r="X91" s="99"/>
      <c r="Y91" s="99"/>
      <c r="Z91" s="99"/>
      <c r="AA91" s="99"/>
      <c r="AB91" s="99"/>
      <c r="AC91" s="99"/>
      <c r="AD91" s="99"/>
      <c r="AE91" s="99"/>
      <c r="AF91" s="99"/>
      <c r="AG91" s="99"/>
      <c r="AH91" s="99"/>
      <c r="AI91" s="99"/>
      <c r="AJ91" s="99"/>
      <c r="AK91" s="99"/>
      <c r="AL91" s="13"/>
      <c r="AM91" s="13"/>
      <c r="AN91" s="49"/>
      <c r="AO91" s="49"/>
    </row>
    <row r="92" spans="3:41" ht="13.5" customHeight="1">
      <c r="C92" s="7"/>
      <c r="D92" s="7"/>
      <c r="E92" s="7"/>
      <c r="F92" s="7"/>
      <c r="G92" s="7"/>
      <c r="H92" s="7"/>
      <c r="I92" s="7"/>
      <c r="J92" s="7"/>
      <c r="K92" s="13"/>
      <c r="L92" s="13"/>
      <c r="M92" s="13"/>
      <c r="N92" s="13"/>
      <c r="O92" s="13"/>
      <c r="P92" s="13"/>
      <c r="Q92" s="13"/>
      <c r="S92" s="13"/>
      <c r="T92" s="79"/>
      <c r="U92" s="133"/>
      <c r="V92" s="99"/>
      <c r="W92" s="99"/>
      <c r="X92" s="99"/>
      <c r="Y92" s="99"/>
      <c r="Z92" s="99"/>
      <c r="AA92" s="99"/>
      <c r="AB92" s="99"/>
      <c r="AC92" s="99"/>
      <c r="AD92" s="99"/>
      <c r="AE92" s="99"/>
      <c r="AF92" s="99"/>
      <c r="AG92" s="99"/>
      <c r="AH92" s="99"/>
      <c r="AI92" s="99"/>
      <c r="AJ92" s="99"/>
      <c r="AK92" s="99"/>
      <c r="AL92" s="13"/>
      <c r="AM92" s="13"/>
      <c r="AN92" s="49"/>
      <c r="AO92" s="49"/>
    </row>
    <row r="93" spans="3:41" ht="13.5" customHeight="1">
      <c r="C93" s="7"/>
      <c r="D93" s="7"/>
      <c r="E93" s="7"/>
      <c r="F93" s="7"/>
      <c r="G93" s="7"/>
      <c r="H93" s="7"/>
      <c r="I93" s="7"/>
      <c r="J93" s="7"/>
      <c r="K93" s="13"/>
      <c r="L93" s="13"/>
      <c r="M93" s="13"/>
      <c r="N93" s="13"/>
      <c r="O93" s="13"/>
      <c r="P93" s="13"/>
      <c r="Q93" s="13"/>
      <c r="S93" s="13"/>
      <c r="T93" s="79"/>
      <c r="U93" s="133"/>
      <c r="V93" s="99"/>
      <c r="W93" s="99"/>
      <c r="X93" s="99"/>
      <c r="Y93" s="99"/>
      <c r="Z93" s="99"/>
      <c r="AA93" s="99"/>
      <c r="AB93" s="99"/>
      <c r="AC93" s="99"/>
      <c r="AD93" s="99"/>
      <c r="AE93" s="99"/>
      <c r="AF93" s="99"/>
      <c r="AG93" s="99"/>
      <c r="AH93" s="99"/>
      <c r="AI93" s="99"/>
      <c r="AJ93" s="99"/>
      <c r="AK93" s="99"/>
      <c r="AL93" s="13"/>
      <c r="AM93" s="13"/>
      <c r="AN93" s="49"/>
      <c r="AO93" s="49"/>
    </row>
    <row r="94" spans="3:41" ht="13.5" customHeight="1">
      <c r="C94" s="7"/>
      <c r="D94" s="7"/>
      <c r="E94" s="7"/>
      <c r="F94" s="7"/>
      <c r="G94" s="7"/>
      <c r="H94" s="7"/>
      <c r="I94" s="7"/>
      <c r="J94" s="7"/>
      <c r="K94" s="13"/>
      <c r="L94" s="13"/>
      <c r="M94" s="13"/>
      <c r="N94" s="13"/>
      <c r="O94" s="13"/>
      <c r="P94" s="13"/>
      <c r="Q94" s="13"/>
      <c r="S94" s="13"/>
      <c r="T94" s="79"/>
      <c r="U94" s="133"/>
      <c r="V94" s="99"/>
      <c r="W94" s="99"/>
      <c r="X94" s="99"/>
      <c r="Y94" s="99"/>
      <c r="Z94" s="99"/>
      <c r="AA94" s="99"/>
      <c r="AB94" s="99"/>
      <c r="AC94" s="99"/>
      <c r="AD94" s="99"/>
      <c r="AE94" s="99"/>
      <c r="AF94" s="99"/>
      <c r="AG94" s="99"/>
      <c r="AH94" s="99"/>
      <c r="AI94" s="99"/>
      <c r="AJ94" s="99"/>
      <c r="AK94" s="99"/>
      <c r="AL94" s="13"/>
      <c r="AM94" s="13"/>
      <c r="AN94" s="49"/>
      <c r="AO94" s="49"/>
    </row>
    <row r="95" spans="3:41" ht="13.5" customHeight="1">
      <c r="C95" s="7"/>
      <c r="D95" s="7"/>
      <c r="E95" s="7"/>
      <c r="F95" s="7"/>
      <c r="G95" s="7"/>
      <c r="H95" s="7"/>
      <c r="I95" s="7"/>
      <c r="J95" s="7"/>
      <c r="K95" s="13"/>
      <c r="L95" s="13"/>
      <c r="M95" s="13"/>
      <c r="N95" s="13"/>
      <c r="O95" s="13"/>
      <c r="P95" s="13"/>
      <c r="Q95" s="13"/>
      <c r="S95" s="13"/>
      <c r="T95" s="79"/>
      <c r="U95" s="133"/>
      <c r="V95" s="99"/>
      <c r="W95" s="99"/>
      <c r="X95" s="99"/>
      <c r="Y95" s="99"/>
      <c r="Z95" s="99"/>
      <c r="AA95" s="99"/>
      <c r="AB95" s="99"/>
      <c r="AC95" s="99"/>
      <c r="AD95" s="99"/>
      <c r="AE95" s="99"/>
      <c r="AF95" s="99"/>
      <c r="AG95" s="99"/>
      <c r="AH95" s="99"/>
      <c r="AI95" s="99"/>
      <c r="AJ95" s="99"/>
      <c r="AK95" s="99"/>
      <c r="AL95" s="13"/>
      <c r="AM95" s="13"/>
      <c r="AN95" s="49"/>
      <c r="AO95" s="49"/>
    </row>
    <row r="96" spans="3:41" ht="13.5" customHeight="1">
      <c r="C96" s="7"/>
      <c r="D96" s="7"/>
      <c r="E96" s="7"/>
      <c r="F96" s="7"/>
      <c r="G96" s="7"/>
      <c r="H96" s="7"/>
      <c r="I96" s="7"/>
      <c r="J96" s="7"/>
      <c r="K96" s="13"/>
      <c r="L96" s="13"/>
      <c r="M96" s="13"/>
      <c r="N96" s="13"/>
      <c r="O96" s="13"/>
      <c r="P96" s="13"/>
      <c r="Q96" s="13"/>
      <c r="S96" s="13"/>
      <c r="T96" s="79"/>
      <c r="U96" s="133"/>
      <c r="V96" s="99"/>
      <c r="W96" s="99"/>
      <c r="X96" s="99"/>
      <c r="Y96" s="99"/>
      <c r="Z96" s="99"/>
      <c r="AA96" s="99"/>
      <c r="AB96" s="99"/>
      <c r="AC96" s="99"/>
      <c r="AD96" s="99"/>
      <c r="AE96" s="99"/>
      <c r="AF96" s="99"/>
      <c r="AG96" s="99"/>
      <c r="AH96" s="99"/>
      <c r="AI96" s="99"/>
      <c r="AJ96" s="99"/>
      <c r="AK96" s="99"/>
      <c r="AL96" s="13"/>
      <c r="AM96" s="13"/>
      <c r="AN96" s="49"/>
      <c r="AO96" s="49"/>
    </row>
    <row r="97" spans="3:41" ht="13.5" customHeight="1">
      <c r="C97" s="7"/>
      <c r="D97" s="7"/>
      <c r="E97" s="7"/>
      <c r="F97" s="7"/>
      <c r="G97" s="7"/>
      <c r="H97" s="7"/>
      <c r="I97" s="7"/>
      <c r="J97" s="7"/>
      <c r="K97" s="13"/>
      <c r="L97" s="13"/>
      <c r="M97" s="13"/>
      <c r="N97" s="13"/>
      <c r="O97" s="13"/>
      <c r="P97" s="13"/>
      <c r="Q97" s="13"/>
      <c r="S97" s="13"/>
      <c r="T97" s="79"/>
      <c r="U97" s="133"/>
      <c r="V97" s="99"/>
      <c r="W97" s="99"/>
      <c r="X97" s="99"/>
      <c r="Y97" s="99"/>
      <c r="Z97" s="99"/>
      <c r="AA97" s="99"/>
      <c r="AB97" s="99"/>
      <c r="AC97" s="99"/>
      <c r="AD97" s="99"/>
      <c r="AE97" s="99"/>
      <c r="AF97" s="99"/>
      <c r="AG97" s="99"/>
      <c r="AH97" s="99"/>
      <c r="AI97" s="99"/>
      <c r="AJ97" s="99"/>
      <c r="AK97" s="99"/>
      <c r="AL97" s="13"/>
      <c r="AM97" s="13"/>
      <c r="AN97" s="49"/>
      <c r="AO97" s="49"/>
    </row>
    <row r="98" spans="3:41" ht="13.5" customHeight="1">
      <c r="C98" s="7"/>
      <c r="D98" s="7"/>
      <c r="E98" s="7"/>
      <c r="F98" s="7"/>
      <c r="G98" s="7"/>
      <c r="H98" s="7"/>
      <c r="I98" s="7"/>
      <c r="J98" s="7"/>
      <c r="K98" s="13"/>
      <c r="L98" s="13"/>
      <c r="M98" s="13"/>
      <c r="N98" s="13"/>
      <c r="O98" s="13"/>
      <c r="P98" s="13"/>
      <c r="Q98" s="13"/>
      <c r="S98" s="13"/>
      <c r="T98" s="79"/>
      <c r="U98" s="133"/>
      <c r="V98" s="99"/>
      <c r="W98" s="99"/>
      <c r="X98" s="99"/>
      <c r="Y98" s="99"/>
      <c r="Z98" s="99"/>
      <c r="AA98" s="99"/>
      <c r="AB98" s="99"/>
      <c r="AC98" s="99"/>
      <c r="AD98" s="99"/>
      <c r="AE98" s="99"/>
      <c r="AF98" s="99"/>
      <c r="AG98" s="99"/>
      <c r="AH98" s="99"/>
      <c r="AI98" s="99"/>
      <c r="AJ98" s="99"/>
      <c r="AK98" s="99"/>
      <c r="AL98" s="13"/>
      <c r="AM98" s="13"/>
      <c r="AN98" s="49"/>
      <c r="AO98" s="49"/>
    </row>
    <row r="99" spans="3:41" ht="13.5" customHeight="1">
      <c r="C99" s="7"/>
      <c r="D99" s="7"/>
      <c r="E99" s="7"/>
      <c r="F99" s="7"/>
      <c r="G99" s="7"/>
      <c r="H99" s="7"/>
      <c r="I99" s="7"/>
      <c r="J99" s="7"/>
      <c r="K99" s="13"/>
      <c r="L99" s="13"/>
      <c r="M99" s="13"/>
      <c r="N99" s="13"/>
      <c r="O99" s="13"/>
      <c r="P99" s="13"/>
      <c r="Q99" s="13"/>
      <c r="S99" s="13"/>
      <c r="T99" s="79"/>
      <c r="U99" s="133"/>
      <c r="V99" s="99"/>
      <c r="W99" s="99"/>
      <c r="X99" s="99"/>
      <c r="Y99" s="99"/>
      <c r="Z99" s="99"/>
      <c r="AA99" s="99"/>
      <c r="AB99" s="99"/>
      <c r="AC99" s="99"/>
      <c r="AD99" s="99"/>
      <c r="AE99" s="99"/>
      <c r="AF99" s="99"/>
      <c r="AG99" s="99"/>
      <c r="AH99" s="99"/>
      <c r="AI99" s="99"/>
      <c r="AJ99" s="99"/>
      <c r="AK99" s="99"/>
      <c r="AL99" s="13"/>
      <c r="AM99" s="13"/>
      <c r="AN99" s="49"/>
      <c r="AO99" s="49"/>
    </row>
    <row r="100" spans="3:41" ht="13.5" customHeight="1">
      <c r="C100" s="7"/>
      <c r="D100" s="7"/>
      <c r="E100" s="7"/>
      <c r="F100" s="7"/>
      <c r="G100" s="7"/>
      <c r="H100" s="7"/>
      <c r="I100" s="7"/>
      <c r="J100" s="7"/>
      <c r="K100" s="13"/>
      <c r="L100" s="13"/>
      <c r="M100" s="13"/>
      <c r="N100" s="13"/>
      <c r="O100" s="13"/>
      <c r="P100" s="13"/>
      <c r="Q100" s="13"/>
      <c r="S100" s="13"/>
      <c r="T100" s="79"/>
      <c r="U100" s="133"/>
      <c r="V100" s="99"/>
      <c r="W100" s="99"/>
      <c r="X100" s="99"/>
      <c r="Y100" s="99"/>
      <c r="Z100" s="99"/>
      <c r="AA100" s="99"/>
      <c r="AB100" s="99"/>
      <c r="AC100" s="99"/>
      <c r="AD100" s="99"/>
      <c r="AE100" s="99"/>
      <c r="AF100" s="99"/>
      <c r="AG100" s="99"/>
      <c r="AH100" s="99"/>
      <c r="AI100" s="99"/>
      <c r="AJ100" s="99"/>
      <c r="AK100" s="99"/>
      <c r="AL100" s="13"/>
      <c r="AM100" s="13"/>
      <c r="AN100" s="49"/>
      <c r="AO100" s="49"/>
    </row>
    <row r="101" spans="3:41" ht="13.5" customHeight="1">
      <c r="C101" s="7"/>
      <c r="D101" s="7"/>
      <c r="E101" s="7"/>
      <c r="F101" s="7"/>
      <c r="G101" s="7"/>
      <c r="H101" s="7"/>
      <c r="I101" s="7"/>
      <c r="J101" s="7"/>
      <c r="K101" s="13"/>
      <c r="L101" s="13"/>
      <c r="M101" s="13"/>
      <c r="N101" s="13"/>
      <c r="O101" s="13"/>
      <c r="P101" s="13"/>
      <c r="Q101" s="13"/>
      <c r="S101" s="13"/>
      <c r="T101" s="79"/>
      <c r="U101" s="133"/>
      <c r="V101" s="99"/>
      <c r="W101" s="99"/>
      <c r="X101" s="99"/>
      <c r="Y101" s="99"/>
      <c r="Z101" s="99"/>
      <c r="AA101" s="99"/>
      <c r="AB101" s="99"/>
      <c r="AC101" s="99"/>
      <c r="AD101" s="99"/>
      <c r="AE101" s="99"/>
      <c r="AF101" s="99"/>
      <c r="AG101" s="99"/>
      <c r="AH101" s="99"/>
      <c r="AI101" s="99"/>
      <c r="AJ101" s="99"/>
      <c r="AK101" s="99"/>
      <c r="AL101" s="13"/>
      <c r="AM101" s="13"/>
      <c r="AN101" s="49"/>
      <c r="AO101" s="49"/>
    </row>
    <row r="102" spans="3:41" ht="13.5" customHeight="1">
      <c r="C102" s="7"/>
      <c r="D102" s="7"/>
      <c r="E102" s="7"/>
      <c r="F102" s="7"/>
      <c r="G102" s="7"/>
      <c r="H102" s="7"/>
      <c r="I102" s="7"/>
      <c r="J102" s="7"/>
      <c r="K102" s="13"/>
      <c r="L102" s="13"/>
      <c r="M102" s="13"/>
      <c r="N102" s="13"/>
      <c r="O102" s="13"/>
      <c r="P102" s="13"/>
      <c r="Q102" s="13"/>
      <c r="S102" s="13"/>
      <c r="T102" s="79"/>
      <c r="U102" s="133"/>
      <c r="V102" s="99"/>
      <c r="W102" s="99"/>
      <c r="X102" s="99"/>
      <c r="Y102" s="99"/>
      <c r="Z102" s="99"/>
      <c r="AA102" s="99"/>
      <c r="AB102" s="99"/>
      <c r="AC102" s="99"/>
      <c r="AD102" s="99"/>
      <c r="AE102" s="99"/>
      <c r="AF102" s="99"/>
      <c r="AG102" s="99"/>
      <c r="AH102" s="99"/>
      <c r="AI102" s="99"/>
      <c r="AJ102" s="99"/>
      <c r="AK102" s="99"/>
      <c r="AL102" s="13"/>
      <c r="AM102" s="13"/>
      <c r="AN102" s="49"/>
      <c r="AO102" s="49"/>
    </row>
    <row r="103" spans="3:41" ht="13.5" customHeight="1">
      <c r="C103" s="7"/>
      <c r="D103" s="7"/>
      <c r="E103" s="7"/>
      <c r="F103" s="7"/>
      <c r="G103" s="7"/>
      <c r="H103" s="7"/>
      <c r="I103" s="7"/>
      <c r="J103" s="7"/>
      <c r="K103" s="13"/>
      <c r="L103" s="13"/>
      <c r="M103" s="13"/>
      <c r="N103" s="13"/>
      <c r="O103" s="13"/>
      <c r="P103" s="13"/>
      <c r="Q103" s="13"/>
      <c r="S103" s="13"/>
      <c r="T103" s="79"/>
      <c r="U103" s="133"/>
      <c r="V103" s="99"/>
      <c r="W103" s="99"/>
      <c r="X103" s="99"/>
      <c r="Y103" s="99"/>
      <c r="Z103" s="99"/>
      <c r="AA103" s="99"/>
      <c r="AB103" s="99"/>
      <c r="AC103" s="99"/>
      <c r="AD103" s="99"/>
      <c r="AE103" s="99"/>
      <c r="AF103" s="99"/>
      <c r="AG103" s="99"/>
      <c r="AH103" s="99"/>
      <c r="AI103" s="99"/>
      <c r="AJ103" s="99"/>
      <c r="AK103" s="99"/>
      <c r="AL103" s="13"/>
      <c r="AM103" s="13"/>
      <c r="AN103" s="49"/>
      <c r="AO103" s="49"/>
    </row>
    <row r="104" spans="3:41" ht="13.5" customHeight="1">
      <c r="C104" s="7"/>
      <c r="D104" s="7"/>
      <c r="E104" s="7"/>
      <c r="F104" s="7"/>
      <c r="G104" s="7"/>
      <c r="H104" s="7"/>
      <c r="I104" s="7"/>
      <c r="J104" s="7"/>
      <c r="K104" s="13"/>
      <c r="L104" s="13"/>
      <c r="M104" s="13"/>
      <c r="N104" s="13"/>
      <c r="O104" s="13"/>
      <c r="P104" s="13"/>
      <c r="Q104" s="13"/>
      <c r="S104" s="13"/>
      <c r="T104" s="79"/>
      <c r="U104" s="133"/>
      <c r="V104" s="99"/>
      <c r="W104" s="99"/>
      <c r="X104" s="99"/>
      <c r="Y104" s="99"/>
      <c r="Z104" s="99"/>
      <c r="AA104" s="99"/>
      <c r="AB104" s="99"/>
      <c r="AC104" s="99"/>
      <c r="AD104" s="99"/>
      <c r="AE104" s="99"/>
      <c r="AF104" s="99"/>
      <c r="AG104" s="99"/>
      <c r="AH104" s="99"/>
      <c r="AI104" s="99"/>
      <c r="AJ104" s="99"/>
      <c r="AK104" s="99"/>
      <c r="AL104" s="13"/>
      <c r="AM104" s="13"/>
      <c r="AN104" s="49"/>
      <c r="AO104" s="49"/>
    </row>
    <row r="105" spans="3:41" ht="13.5" customHeight="1">
      <c r="K105" s="49"/>
      <c r="L105" s="49"/>
      <c r="M105" s="49"/>
      <c r="N105" s="49"/>
      <c r="O105" s="49"/>
      <c r="P105" s="49"/>
      <c r="Q105" s="49"/>
      <c r="S105" s="13"/>
      <c r="T105" s="79"/>
      <c r="U105" s="133"/>
      <c r="V105" s="99"/>
      <c r="W105" s="99"/>
      <c r="X105" s="99"/>
      <c r="Y105" s="99"/>
      <c r="Z105" s="99"/>
      <c r="AA105" s="99"/>
      <c r="AB105" s="99"/>
      <c r="AC105" s="99"/>
      <c r="AD105" s="99"/>
      <c r="AE105" s="99"/>
      <c r="AF105" s="99"/>
      <c r="AG105" s="99"/>
      <c r="AH105" s="99"/>
      <c r="AI105" s="99"/>
      <c r="AJ105" s="99"/>
      <c r="AK105" s="99"/>
      <c r="AL105" s="13"/>
      <c r="AM105" s="13"/>
      <c r="AN105" s="49"/>
      <c r="AO105" s="49"/>
    </row>
    <row r="106" spans="3:41" ht="13.5" customHeight="1">
      <c r="K106" s="49"/>
      <c r="L106" s="49"/>
      <c r="M106" s="49"/>
      <c r="N106" s="49"/>
      <c r="O106" s="49"/>
      <c r="P106" s="49"/>
      <c r="Q106" s="49"/>
      <c r="S106" s="13"/>
      <c r="T106" s="79"/>
      <c r="U106" s="133"/>
      <c r="V106" s="99"/>
      <c r="W106" s="99"/>
      <c r="X106" s="99"/>
      <c r="Y106" s="99"/>
      <c r="Z106" s="99"/>
      <c r="AA106" s="99"/>
      <c r="AB106" s="99"/>
      <c r="AC106" s="99"/>
      <c r="AD106" s="99"/>
      <c r="AE106" s="99"/>
      <c r="AF106" s="99"/>
      <c r="AG106" s="99"/>
      <c r="AH106" s="99"/>
      <c r="AI106" s="99"/>
      <c r="AJ106" s="99"/>
      <c r="AK106" s="99"/>
      <c r="AL106" s="13"/>
      <c r="AM106" s="13"/>
      <c r="AN106" s="49"/>
      <c r="AO106" s="49"/>
    </row>
    <row r="107" spans="3:41" ht="13.5" customHeight="1">
      <c r="K107" s="49"/>
      <c r="L107" s="49"/>
      <c r="M107" s="49"/>
      <c r="N107" s="49"/>
      <c r="O107" s="49"/>
      <c r="P107" s="49"/>
      <c r="Q107" s="49"/>
      <c r="S107" s="13"/>
      <c r="T107" s="79"/>
      <c r="U107" s="133"/>
      <c r="V107" s="99"/>
      <c r="W107" s="99"/>
      <c r="X107" s="99"/>
      <c r="Y107" s="99"/>
      <c r="Z107" s="99"/>
      <c r="AA107" s="99"/>
      <c r="AB107" s="99"/>
      <c r="AC107" s="99"/>
      <c r="AD107" s="99"/>
      <c r="AE107" s="99"/>
      <c r="AF107" s="99"/>
      <c r="AG107" s="99"/>
      <c r="AH107" s="99"/>
      <c r="AI107" s="99"/>
      <c r="AJ107" s="99"/>
      <c r="AK107" s="99"/>
      <c r="AL107" s="13"/>
      <c r="AM107" s="13"/>
      <c r="AN107" s="49"/>
      <c r="AO107" s="49"/>
    </row>
    <row r="108" spans="3:41" ht="13.5" customHeight="1">
      <c r="K108" s="49"/>
      <c r="L108" s="49"/>
      <c r="M108" s="49"/>
      <c r="N108" s="49"/>
      <c r="O108" s="49"/>
      <c r="P108" s="49"/>
      <c r="Q108" s="49"/>
      <c r="S108" s="49"/>
      <c r="T108" s="79"/>
      <c r="U108" s="133"/>
      <c r="V108" s="99"/>
      <c r="W108" s="99"/>
      <c r="X108" s="217"/>
      <c r="Y108" s="217"/>
      <c r="Z108" s="217"/>
      <c r="AA108" s="217"/>
      <c r="AB108" s="217"/>
      <c r="AC108" s="217"/>
      <c r="AD108" s="217"/>
      <c r="AE108" s="217"/>
      <c r="AF108" s="217"/>
      <c r="AG108" s="99"/>
      <c r="AH108" s="99"/>
      <c r="AI108" s="99"/>
      <c r="AJ108" s="99"/>
      <c r="AK108" s="99"/>
      <c r="AL108" s="13"/>
      <c r="AM108" s="13"/>
      <c r="AN108" s="49"/>
      <c r="AO108" s="49"/>
    </row>
    <row r="109" spans="3:41" ht="13.5" customHeight="1">
      <c r="K109" s="49"/>
      <c r="L109" s="49"/>
      <c r="M109" s="49"/>
      <c r="N109" s="49"/>
      <c r="O109" s="49"/>
      <c r="P109" s="49"/>
      <c r="Q109" s="49"/>
      <c r="S109" s="49"/>
      <c r="U109" s="110"/>
      <c r="V109" s="217"/>
      <c r="W109" s="217"/>
      <c r="X109" s="217"/>
      <c r="Y109" s="217"/>
      <c r="Z109" s="217"/>
      <c r="AA109" s="217"/>
      <c r="AB109" s="217"/>
      <c r="AC109" s="217"/>
      <c r="AD109" s="217"/>
      <c r="AE109" s="217"/>
      <c r="AF109" s="217"/>
      <c r="AG109" s="217"/>
      <c r="AH109" s="217"/>
      <c r="AI109" s="217"/>
      <c r="AJ109" s="217"/>
      <c r="AK109" s="217"/>
      <c r="AL109" s="49"/>
      <c r="AM109" s="49"/>
      <c r="AN109" s="49"/>
      <c r="AO109" s="49"/>
    </row>
    <row r="110" spans="3:41" ht="13.5" customHeight="1">
      <c r="K110" s="49"/>
      <c r="L110" s="49"/>
      <c r="M110" s="49"/>
      <c r="N110" s="49"/>
      <c r="O110" s="49"/>
      <c r="P110" s="49"/>
      <c r="Q110" s="49"/>
      <c r="S110" s="49"/>
      <c r="U110" s="110"/>
      <c r="V110" s="217"/>
      <c r="W110" s="217"/>
      <c r="X110" s="217"/>
      <c r="Y110" s="217"/>
      <c r="Z110" s="217"/>
      <c r="AA110" s="217"/>
      <c r="AB110" s="217"/>
      <c r="AC110" s="217"/>
      <c r="AD110" s="217"/>
      <c r="AE110" s="217"/>
      <c r="AF110" s="217"/>
      <c r="AG110" s="217"/>
      <c r="AH110" s="217"/>
      <c r="AI110" s="217"/>
      <c r="AJ110" s="217"/>
      <c r="AK110" s="217"/>
      <c r="AL110" s="49"/>
      <c r="AM110" s="49"/>
      <c r="AN110" s="49"/>
      <c r="AO110" s="49"/>
    </row>
    <row r="111" spans="3:41" ht="13.5" customHeight="1">
      <c r="K111" s="49"/>
      <c r="L111" s="49"/>
      <c r="M111" s="49"/>
      <c r="N111" s="49"/>
      <c r="O111" s="49"/>
      <c r="P111" s="49"/>
      <c r="Q111" s="49"/>
      <c r="S111" s="49"/>
      <c r="U111" s="110"/>
      <c r="V111" s="217"/>
      <c r="W111" s="217"/>
      <c r="X111" s="217"/>
      <c r="Y111" s="217"/>
      <c r="Z111" s="217"/>
      <c r="AA111" s="217"/>
      <c r="AB111" s="217"/>
      <c r="AC111" s="217"/>
      <c r="AD111" s="217"/>
      <c r="AE111" s="217"/>
      <c r="AF111" s="217"/>
      <c r="AG111" s="217"/>
      <c r="AH111" s="217"/>
      <c r="AI111" s="217"/>
      <c r="AJ111" s="217"/>
      <c r="AK111" s="217"/>
      <c r="AL111" s="49"/>
      <c r="AM111" s="49"/>
      <c r="AN111" s="49"/>
      <c r="AO111" s="49"/>
    </row>
    <row r="112" spans="3:41" ht="13.5" customHeight="1">
      <c r="K112" s="49"/>
      <c r="L112" s="49"/>
      <c r="M112" s="49"/>
      <c r="N112" s="49"/>
      <c r="O112" s="49"/>
      <c r="P112" s="49"/>
      <c r="Q112" s="49"/>
      <c r="S112" s="49"/>
      <c r="U112" s="110"/>
      <c r="V112" s="217"/>
      <c r="W112" s="217"/>
      <c r="X112" s="217"/>
      <c r="Y112" s="217"/>
      <c r="Z112" s="217"/>
      <c r="AA112" s="217"/>
      <c r="AB112" s="217"/>
      <c r="AC112" s="217"/>
      <c r="AD112" s="217"/>
      <c r="AE112" s="217"/>
      <c r="AF112" s="217"/>
      <c r="AG112" s="217"/>
      <c r="AH112" s="217"/>
      <c r="AI112" s="217"/>
      <c r="AJ112" s="217"/>
      <c r="AK112" s="217"/>
      <c r="AL112" s="49"/>
      <c r="AM112" s="49"/>
      <c r="AN112" s="49"/>
      <c r="AO112" s="49"/>
    </row>
    <row r="113" spans="11:41" ht="13.5" customHeight="1">
      <c r="K113" s="49"/>
      <c r="L113" s="49"/>
      <c r="M113" s="49"/>
      <c r="N113" s="49"/>
      <c r="O113" s="49"/>
      <c r="P113" s="49"/>
      <c r="Q113" s="49"/>
      <c r="S113" s="49"/>
      <c r="U113" s="110"/>
      <c r="V113" s="217"/>
      <c r="W113" s="217"/>
      <c r="X113" s="217"/>
      <c r="Y113" s="217"/>
      <c r="Z113" s="217"/>
      <c r="AA113" s="217"/>
      <c r="AB113" s="217"/>
      <c r="AC113" s="217"/>
      <c r="AD113" s="217"/>
      <c r="AE113" s="217"/>
      <c r="AF113" s="217"/>
      <c r="AG113" s="217"/>
      <c r="AH113" s="217"/>
      <c r="AI113" s="217"/>
      <c r="AJ113" s="217"/>
      <c r="AK113" s="217"/>
      <c r="AL113" s="49"/>
      <c r="AM113" s="49"/>
      <c r="AN113" s="49"/>
      <c r="AO113" s="49"/>
    </row>
    <row r="114" spans="11:41" ht="13.5" customHeight="1">
      <c r="K114" s="49"/>
      <c r="L114" s="49"/>
      <c r="M114" s="49"/>
      <c r="N114" s="49"/>
      <c r="O114" s="49"/>
      <c r="P114" s="49"/>
      <c r="Q114" s="49"/>
      <c r="S114" s="49"/>
      <c r="U114" s="110"/>
      <c r="V114" s="217"/>
      <c r="W114" s="217"/>
      <c r="X114" s="217"/>
      <c r="Y114" s="217"/>
      <c r="Z114" s="217"/>
      <c r="AA114" s="217"/>
      <c r="AB114" s="217"/>
      <c r="AC114" s="217"/>
      <c r="AD114" s="217"/>
      <c r="AE114" s="217"/>
      <c r="AF114" s="217"/>
      <c r="AG114" s="217"/>
      <c r="AH114" s="217"/>
      <c r="AI114" s="217"/>
      <c r="AJ114" s="217"/>
      <c r="AK114" s="217"/>
      <c r="AL114" s="49"/>
      <c r="AM114" s="49"/>
      <c r="AN114" s="49"/>
      <c r="AO114" s="49"/>
    </row>
    <row r="115" spans="11:41" ht="13.5" customHeight="1">
      <c r="K115" s="49"/>
      <c r="L115" s="49"/>
      <c r="M115" s="49"/>
      <c r="N115" s="49"/>
      <c r="O115" s="49"/>
      <c r="P115" s="49"/>
      <c r="Q115" s="49"/>
      <c r="S115" s="49"/>
      <c r="U115" s="110"/>
      <c r="V115" s="217"/>
      <c r="W115" s="217"/>
      <c r="X115" s="217"/>
      <c r="Y115" s="217"/>
      <c r="Z115" s="217"/>
      <c r="AA115" s="217"/>
      <c r="AB115" s="217"/>
      <c r="AC115" s="217"/>
      <c r="AD115" s="217"/>
      <c r="AE115" s="217"/>
      <c r="AF115" s="217"/>
      <c r="AG115" s="217"/>
      <c r="AH115" s="217"/>
      <c r="AI115" s="217"/>
      <c r="AJ115" s="217"/>
      <c r="AK115" s="217"/>
      <c r="AL115" s="49"/>
      <c r="AM115" s="49"/>
      <c r="AN115" s="49"/>
      <c r="AO115" s="49"/>
    </row>
    <row r="116" spans="11:41" ht="13.5" customHeight="1">
      <c r="K116" s="49"/>
      <c r="L116" s="49"/>
      <c r="M116" s="49"/>
      <c r="N116" s="49"/>
      <c r="O116" s="49"/>
      <c r="P116" s="49"/>
      <c r="Q116" s="49"/>
      <c r="S116" s="49"/>
      <c r="U116" s="110"/>
      <c r="V116" s="217"/>
      <c r="W116" s="217"/>
      <c r="X116" s="217"/>
      <c r="Y116" s="217"/>
      <c r="Z116" s="217"/>
      <c r="AA116" s="217"/>
      <c r="AB116" s="217"/>
      <c r="AC116" s="217"/>
      <c r="AD116" s="217"/>
      <c r="AE116" s="217"/>
      <c r="AF116" s="217"/>
      <c r="AG116" s="217"/>
      <c r="AH116" s="217"/>
      <c r="AI116" s="217"/>
      <c r="AJ116" s="217"/>
      <c r="AK116" s="217"/>
      <c r="AL116" s="49"/>
      <c r="AM116" s="49"/>
      <c r="AN116" s="49"/>
      <c r="AO116" s="49"/>
    </row>
    <row r="117" spans="11:41" ht="13.5" customHeight="1">
      <c r="K117" s="49"/>
      <c r="L117" s="49"/>
      <c r="M117" s="49"/>
      <c r="N117" s="49"/>
      <c r="O117" s="49"/>
      <c r="P117" s="49"/>
      <c r="Q117" s="49"/>
      <c r="S117" s="49"/>
      <c r="U117" s="110"/>
      <c r="V117" s="217"/>
      <c r="W117" s="217"/>
      <c r="X117" s="217"/>
      <c r="Y117" s="217"/>
      <c r="Z117" s="217"/>
      <c r="AA117" s="217"/>
      <c r="AB117" s="217"/>
      <c r="AC117" s="217"/>
      <c r="AD117" s="217"/>
      <c r="AE117" s="217"/>
      <c r="AF117" s="217"/>
      <c r="AG117" s="217"/>
      <c r="AH117" s="217"/>
      <c r="AI117" s="217"/>
      <c r="AJ117" s="217"/>
      <c r="AK117" s="217"/>
      <c r="AL117" s="49"/>
      <c r="AM117" s="49"/>
      <c r="AN117" s="49"/>
      <c r="AO117" s="49"/>
    </row>
    <row r="118" spans="11:41" ht="13.5" customHeight="1">
      <c r="K118" s="49"/>
      <c r="L118" s="49"/>
      <c r="M118" s="49"/>
      <c r="N118" s="49"/>
      <c r="O118" s="49"/>
      <c r="P118" s="49"/>
      <c r="Q118" s="49"/>
      <c r="S118" s="49"/>
      <c r="U118" s="110"/>
      <c r="V118" s="217"/>
      <c r="W118" s="217"/>
      <c r="X118" s="217"/>
      <c r="Y118" s="217"/>
      <c r="Z118" s="217"/>
      <c r="AA118" s="217"/>
      <c r="AB118" s="217"/>
      <c r="AC118" s="217"/>
      <c r="AD118" s="217"/>
      <c r="AE118" s="217"/>
      <c r="AF118" s="217"/>
      <c r="AG118" s="217"/>
      <c r="AH118" s="217"/>
      <c r="AI118" s="217"/>
      <c r="AJ118" s="217"/>
      <c r="AK118" s="217"/>
      <c r="AL118" s="49"/>
      <c r="AM118" s="49"/>
      <c r="AN118" s="49"/>
      <c r="AO118" s="49"/>
    </row>
    <row r="119" spans="11:41" ht="13.5" customHeight="1">
      <c r="K119" s="49"/>
      <c r="L119" s="49"/>
      <c r="M119" s="49"/>
      <c r="N119" s="49"/>
      <c r="O119" s="49"/>
      <c r="P119" s="49"/>
      <c r="Q119" s="49"/>
      <c r="S119" s="49"/>
      <c r="U119" s="110"/>
      <c r="V119" s="217"/>
      <c r="W119" s="217"/>
      <c r="X119" s="217"/>
      <c r="Y119" s="217"/>
      <c r="Z119" s="217"/>
      <c r="AA119" s="217"/>
      <c r="AB119" s="217"/>
      <c r="AC119" s="217"/>
      <c r="AD119" s="217"/>
      <c r="AE119" s="217"/>
      <c r="AF119" s="217"/>
      <c r="AG119" s="217"/>
      <c r="AH119" s="217"/>
      <c r="AI119" s="217"/>
      <c r="AJ119" s="217"/>
      <c r="AK119" s="217"/>
      <c r="AL119" s="49"/>
      <c r="AM119" s="49"/>
      <c r="AN119" s="49"/>
      <c r="AO119" s="49"/>
    </row>
    <row r="120" spans="11:41" ht="13.5" customHeight="1">
      <c r="K120" s="49"/>
      <c r="L120" s="49"/>
      <c r="M120" s="49"/>
      <c r="N120" s="49"/>
      <c r="O120" s="49"/>
      <c r="P120" s="49"/>
      <c r="Q120" s="49"/>
      <c r="S120" s="49"/>
      <c r="U120" s="110"/>
      <c r="V120" s="217"/>
      <c r="W120" s="217"/>
      <c r="X120" s="217"/>
      <c r="Y120" s="217"/>
      <c r="Z120" s="217"/>
      <c r="AA120" s="217"/>
      <c r="AB120" s="217"/>
      <c r="AC120" s="217"/>
      <c r="AD120" s="217"/>
      <c r="AE120" s="217"/>
      <c r="AF120" s="217"/>
      <c r="AG120" s="217"/>
      <c r="AH120" s="217"/>
      <c r="AI120" s="217"/>
      <c r="AJ120" s="217"/>
      <c r="AK120" s="217"/>
      <c r="AL120" s="49"/>
      <c r="AM120" s="49"/>
      <c r="AN120" s="49"/>
      <c r="AO120" s="49"/>
    </row>
    <row r="121" spans="11:41" ht="13.5" customHeight="1">
      <c r="K121" s="49"/>
      <c r="L121" s="49"/>
      <c r="M121" s="49"/>
      <c r="N121" s="49"/>
      <c r="O121" s="49"/>
      <c r="P121" s="49"/>
      <c r="Q121" s="49"/>
      <c r="S121" s="49"/>
      <c r="U121" s="110"/>
      <c r="V121" s="217"/>
      <c r="W121" s="217"/>
      <c r="X121" s="217"/>
      <c r="Y121" s="217"/>
      <c r="Z121" s="217"/>
      <c r="AA121" s="217"/>
      <c r="AB121" s="217"/>
      <c r="AC121" s="217"/>
      <c r="AD121" s="217"/>
      <c r="AE121" s="217"/>
      <c r="AF121" s="217"/>
      <c r="AG121" s="217"/>
      <c r="AH121" s="217"/>
      <c r="AI121" s="217"/>
      <c r="AJ121" s="217"/>
      <c r="AK121" s="217"/>
      <c r="AL121" s="49"/>
      <c r="AM121" s="49"/>
      <c r="AN121" s="49"/>
      <c r="AO121" s="49"/>
    </row>
    <row r="122" spans="11:41" ht="13.5" customHeight="1">
      <c r="K122" s="49"/>
      <c r="L122" s="49"/>
      <c r="M122" s="49"/>
      <c r="N122" s="49"/>
      <c r="O122" s="49"/>
      <c r="P122" s="49"/>
      <c r="Q122" s="49"/>
      <c r="S122" s="49"/>
      <c r="U122" s="110"/>
      <c r="V122" s="217"/>
      <c r="W122" s="217"/>
      <c r="X122" s="217"/>
      <c r="Y122" s="217"/>
      <c r="Z122" s="217"/>
      <c r="AA122" s="217"/>
      <c r="AB122" s="217"/>
      <c r="AC122" s="217"/>
      <c r="AD122" s="217"/>
      <c r="AE122" s="217"/>
      <c r="AF122" s="217"/>
      <c r="AG122" s="217"/>
      <c r="AH122" s="217"/>
      <c r="AI122" s="217"/>
      <c r="AJ122" s="217"/>
      <c r="AK122" s="217"/>
      <c r="AL122" s="49"/>
      <c r="AM122" s="49"/>
      <c r="AN122" s="49"/>
      <c r="AO122" s="49"/>
    </row>
    <row r="123" spans="11:41" ht="13.5" customHeight="1">
      <c r="K123" s="49"/>
      <c r="L123" s="49"/>
      <c r="M123" s="49"/>
      <c r="N123" s="49"/>
      <c r="O123" s="49"/>
      <c r="P123" s="49"/>
      <c r="Q123" s="49"/>
      <c r="S123" s="49"/>
      <c r="U123" s="110"/>
      <c r="V123" s="217"/>
      <c r="W123" s="217"/>
      <c r="X123" s="217"/>
      <c r="Y123" s="217"/>
      <c r="Z123" s="217"/>
      <c r="AA123" s="217"/>
      <c r="AB123" s="217"/>
      <c r="AC123" s="217"/>
      <c r="AD123" s="217"/>
      <c r="AE123" s="217"/>
      <c r="AF123" s="217"/>
      <c r="AG123" s="217"/>
      <c r="AH123" s="217"/>
      <c r="AI123" s="217"/>
      <c r="AJ123" s="217"/>
      <c r="AK123" s="217"/>
      <c r="AL123" s="49"/>
      <c r="AM123" s="49"/>
      <c r="AN123" s="49"/>
      <c r="AO123" s="49"/>
    </row>
    <row r="124" spans="11:41" ht="13.5" customHeight="1">
      <c r="K124" s="49"/>
      <c r="L124" s="49"/>
      <c r="M124" s="49"/>
      <c r="N124" s="49"/>
      <c r="O124" s="49"/>
      <c r="P124" s="49"/>
      <c r="Q124" s="49"/>
      <c r="S124" s="49"/>
      <c r="U124" s="110"/>
      <c r="V124" s="217"/>
      <c r="W124" s="217"/>
      <c r="X124" s="217"/>
      <c r="Y124" s="217"/>
      <c r="Z124" s="217"/>
      <c r="AA124" s="217"/>
      <c r="AB124" s="217"/>
      <c r="AC124" s="217"/>
      <c r="AD124" s="217"/>
      <c r="AE124" s="217"/>
      <c r="AF124" s="217"/>
      <c r="AG124" s="217"/>
      <c r="AH124" s="217"/>
      <c r="AI124" s="217"/>
      <c r="AJ124" s="217"/>
      <c r="AK124" s="217"/>
      <c r="AL124" s="49"/>
      <c r="AM124" s="49"/>
      <c r="AN124" s="49"/>
      <c r="AO124" s="49"/>
    </row>
    <row r="125" spans="11:41" ht="13.5" customHeight="1">
      <c r="K125" s="49"/>
      <c r="L125" s="49"/>
      <c r="M125" s="49"/>
      <c r="N125" s="49"/>
      <c r="O125" s="49"/>
      <c r="P125" s="49"/>
      <c r="Q125" s="49"/>
      <c r="S125" s="49"/>
      <c r="U125" s="110"/>
      <c r="V125" s="217"/>
      <c r="W125" s="217"/>
      <c r="X125" s="217"/>
      <c r="Y125" s="217"/>
      <c r="Z125" s="217"/>
      <c r="AA125" s="217"/>
      <c r="AB125" s="217"/>
      <c r="AC125" s="217"/>
      <c r="AD125" s="217"/>
      <c r="AE125" s="217"/>
      <c r="AF125" s="217"/>
      <c r="AG125" s="217"/>
      <c r="AH125" s="217"/>
      <c r="AI125" s="217"/>
      <c r="AJ125" s="217"/>
      <c r="AK125" s="217"/>
      <c r="AL125" s="49"/>
      <c r="AM125" s="49"/>
      <c r="AN125" s="49"/>
      <c r="AO125" s="49"/>
    </row>
    <row r="126" spans="11:41" ht="13.5" customHeight="1">
      <c r="K126" s="49"/>
      <c r="L126" s="49"/>
      <c r="M126" s="49"/>
      <c r="N126" s="49"/>
      <c r="O126" s="49"/>
      <c r="P126" s="49"/>
      <c r="Q126" s="49"/>
      <c r="S126" s="49"/>
      <c r="U126" s="110"/>
      <c r="V126" s="217"/>
      <c r="W126" s="217"/>
      <c r="X126" s="217"/>
      <c r="Y126" s="217"/>
      <c r="Z126" s="217"/>
      <c r="AA126" s="217"/>
      <c r="AB126" s="217"/>
      <c r="AC126" s="217"/>
      <c r="AD126" s="217"/>
      <c r="AE126" s="217"/>
      <c r="AF126" s="217"/>
      <c r="AG126" s="217"/>
      <c r="AH126" s="217"/>
      <c r="AI126" s="217"/>
      <c r="AJ126" s="217"/>
      <c r="AK126" s="217"/>
      <c r="AL126" s="49"/>
      <c r="AM126" s="49"/>
      <c r="AN126" s="49"/>
      <c r="AO126" s="49"/>
    </row>
    <row r="127" spans="11:41" ht="13.5" customHeight="1">
      <c r="K127" s="49"/>
      <c r="L127" s="49"/>
      <c r="M127" s="49"/>
      <c r="N127" s="49"/>
      <c r="O127" s="49"/>
      <c r="P127" s="49"/>
      <c r="Q127" s="49"/>
      <c r="S127" s="49"/>
      <c r="U127" s="110"/>
      <c r="V127" s="217"/>
      <c r="W127" s="217"/>
      <c r="X127" s="217"/>
      <c r="Y127" s="217"/>
      <c r="Z127" s="217"/>
      <c r="AA127" s="217"/>
      <c r="AB127" s="217"/>
      <c r="AC127" s="217"/>
      <c r="AD127" s="217"/>
      <c r="AE127" s="217"/>
      <c r="AF127" s="217"/>
      <c r="AG127" s="217"/>
      <c r="AH127" s="217"/>
      <c r="AI127" s="217"/>
      <c r="AJ127" s="217"/>
      <c r="AK127" s="217"/>
      <c r="AL127" s="49"/>
      <c r="AM127" s="49"/>
      <c r="AN127" s="49"/>
      <c r="AO127" s="49"/>
    </row>
    <row r="128" spans="11:41" ht="13.5" customHeight="1">
      <c r="K128" s="49"/>
      <c r="L128" s="49"/>
      <c r="M128" s="49"/>
      <c r="N128" s="49"/>
      <c r="O128" s="49"/>
      <c r="P128" s="49"/>
      <c r="Q128" s="49"/>
      <c r="S128" s="49"/>
      <c r="U128" s="110"/>
      <c r="V128" s="217"/>
      <c r="W128" s="217"/>
      <c r="X128" s="217"/>
      <c r="Y128" s="217"/>
      <c r="Z128" s="217"/>
      <c r="AA128" s="217"/>
      <c r="AB128" s="217"/>
      <c r="AC128" s="217"/>
      <c r="AD128" s="217"/>
      <c r="AE128" s="217"/>
      <c r="AF128" s="217"/>
      <c r="AG128" s="217"/>
      <c r="AH128" s="217"/>
      <c r="AI128" s="217"/>
      <c r="AJ128" s="217"/>
      <c r="AK128" s="217"/>
      <c r="AL128" s="49"/>
      <c r="AM128" s="49"/>
      <c r="AN128" s="49"/>
      <c r="AO128" s="49"/>
    </row>
    <row r="129" spans="11:41" ht="13.5" customHeight="1">
      <c r="K129" s="49"/>
      <c r="L129" s="49"/>
      <c r="M129" s="49"/>
      <c r="N129" s="49"/>
      <c r="O129" s="49"/>
      <c r="P129" s="49"/>
      <c r="Q129" s="49"/>
      <c r="S129" s="49"/>
      <c r="U129" s="110"/>
      <c r="V129" s="217"/>
      <c r="W129" s="217"/>
      <c r="X129" s="217"/>
      <c r="Y129" s="217"/>
      <c r="Z129" s="217"/>
      <c r="AA129" s="217"/>
      <c r="AB129" s="217"/>
      <c r="AC129" s="217"/>
      <c r="AD129" s="217"/>
      <c r="AE129" s="217"/>
      <c r="AF129" s="217"/>
      <c r="AG129" s="217"/>
      <c r="AH129" s="217"/>
      <c r="AI129" s="217"/>
      <c r="AJ129" s="217"/>
      <c r="AK129" s="217"/>
      <c r="AL129" s="49"/>
      <c r="AM129" s="49"/>
      <c r="AN129" s="49"/>
      <c r="AO129" s="49"/>
    </row>
    <row r="130" spans="11:41" ht="13.5" customHeight="1">
      <c r="K130" s="49"/>
      <c r="L130" s="49"/>
      <c r="M130" s="49"/>
      <c r="N130" s="49"/>
      <c r="O130" s="49"/>
      <c r="P130" s="49"/>
      <c r="Q130" s="49"/>
      <c r="S130" s="49"/>
      <c r="U130" s="110"/>
      <c r="V130" s="217"/>
      <c r="W130" s="217"/>
      <c r="X130" s="217"/>
      <c r="Y130" s="217"/>
      <c r="Z130" s="217"/>
      <c r="AA130" s="217"/>
      <c r="AB130" s="217"/>
      <c r="AC130" s="217"/>
      <c r="AD130" s="217"/>
      <c r="AE130" s="217"/>
      <c r="AF130" s="217"/>
      <c r="AG130" s="217"/>
      <c r="AH130" s="217"/>
      <c r="AI130" s="217"/>
      <c r="AJ130" s="217"/>
      <c r="AK130" s="217"/>
      <c r="AL130" s="49"/>
      <c r="AM130" s="49"/>
      <c r="AN130" s="49"/>
      <c r="AO130" s="49"/>
    </row>
    <row r="131" spans="11:41" ht="13.5" customHeight="1">
      <c r="K131" s="49"/>
      <c r="L131" s="49"/>
      <c r="M131" s="49"/>
      <c r="N131" s="49"/>
      <c r="O131" s="49"/>
      <c r="P131" s="49"/>
      <c r="Q131" s="49"/>
      <c r="S131" s="49"/>
      <c r="U131" s="110"/>
      <c r="V131" s="217"/>
      <c r="W131" s="217"/>
      <c r="X131" s="217"/>
      <c r="Y131" s="217"/>
      <c r="Z131" s="217"/>
      <c r="AA131" s="217"/>
      <c r="AB131" s="217"/>
      <c r="AC131" s="217"/>
      <c r="AD131" s="217"/>
      <c r="AE131" s="217"/>
      <c r="AF131" s="217"/>
      <c r="AG131" s="217"/>
      <c r="AH131" s="217"/>
      <c r="AI131" s="217"/>
      <c r="AJ131" s="217"/>
      <c r="AK131" s="217"/>
      <c r="AL131" s="49"/>
      <c r="AM131" s="49"/>
      <c r="AN131" s="49"/>
      <c r="AO131" s="49"/>
    </row>
    <row r="132" spans="11:41" ht="13.5" customHeight="1">
      <c r="K132" s="49"/>
      <c r="L132" s="49"/>
      <c r="M132" s="49"/>
      <c r="N132" s="49"/>
      <c r="O132" s="49"/>
      <c r="P132" s="49"/>
      <c r="Q132" s="49"/>
      <c r="S132" s="49"/>
      <c r="U132" s="110"/>
      <c r="V132" s="217"/>
      <c r="W132" s="217"/>
      <c r="X132" s="217"/>
      <c r="Y132" s="217"/>
      <c r="Z132" s="217"/>
      <c r="AA132" s="217"/>
      <c r="AB132" s="217"/>
      <c r="AC132" s="217"/>
      <c r="AD132" s="217"/>
      <c r="AE132" s="217"/>
      <c r="AF132" s="217"/>
      <c r="AG132" s="217"/>
      <c r="AH132" s="217"/>
      <c r="AI132" s="217"/>
      <c r="AJ132" s="217"/>
      <c r="AK132" s="217"/>
      <c r="AL132" s="49"/>
      <c r="AM132" s="49"/>
      <c r="AN132" s="49"/>
      <c r="AO132" s="49"/>
    </row>
    <row r="133" spans="11:41" ht="13.5" customHeight="1">
      <c r="K133" s="49"/>
      <c r="L133" s="49"/>
      <c r="M133" s="49"/>
      <c r="N133" s="49"/>
      <c r="O133" s="49"/>
      <c r="P133" s="49"/>
      <c r="Q133" s="49"/>
      <c r="S133" s="49"/>
      <c r="U133" s="110"/>
      <c r="V133" s="217"/>
      <c r="W133" s="217"/>
      <c r="X133" s="217"/>
      <c r="Y133" s="217"/>
      <c r="Z133" s="217"/>
      <c r="AA133" s="217"/>
      <c r="AB133" s="217"/>
      <c r="AC133" s="217"/>
      <c r="AD133" s="217"/>
      <c r="AE133" s="217"/>
      <c r="AF133" s="217"/>
      <c r="AG133" s="217"/>
      <c r="AH133" s="217"/>
      <c r="AI133" s="217"/>
      <c r="AJ133" s="217"/>
      <c r="AK133" s="217"/>
      <c r="AL133" s="49"/>
      <c r="AM133" s="49"/>
      <c r="AN133" s="49"/>
      <c r="AO133" s="49"/>
    </row>
    <row r="134" spans="11:41" ht="13.5" customHeight="1">
      <c r="K134" s="49"/>
      <c r="L134" s="49"/>
      <c r="M134" s="49"/>
      <c r="N134" s="49"/>
      <c r="O134" s="49"/>
      <c r="P134" s="49"/>
      <c r="Q134" s="49"/>
      <c r="S134" s="49"/>
      <c r="U134" s="110"/>
      <c r="V134" s="217"/>
      <c r="W134" s="217"/>
      <c r="X134" s="217"/>
      <c r="Y134" s="217"/>
      <c r="Z134" s="217"/>
      <c r="AA134" s="217"/>
      <c r="AB134" s="217"/>
      <c r="AC134" s="217"/>
      <c r="AD134" s="217"/>
      <c r="AE134" s="217"/>
      <c r="AF134" s="217"/>
      <c r="AG134" s="217"/>
      <c r="AH134" s="217"/>
      <c r="AI134" s="217"/>
      <c r="AJ134" s="217"/>
      <c r="AK134" s="217"/>
      <c r="AL134" s="49"/>
      <c r="AM134" s="49"/>
      <c r="AN134" s="49"/>
      <c r="AO134" s="49"/>
    </row>
    <row r="135" spans="11:41" ht="13.5" customHeight="1">
      <c r="K135" s="49"/>
      <c r="L135" s="49"/>
      <c r="M135" s="49"/>
      <c r="N135" s="49"/>
      <c r="O135" s="49"/>
      <c r="P135" s="49"/>
      <c r="Q135" s="49"/>
      <c r="S135" s="49"/>
      <c r="U135" s="110"/>
      <c r="V135" s="217"/>
      <c r="W135" s="217"/>
      <c r="X135" s="217"/>
      <c r="Y135" s="217"/>
      <c r="Z135" s="217"/>
      <c r="AA135" s="217"/>
      <c r="AB135" s="217"/>
      <c r="AC135" s="217"/>
      <c r="AD135" s="217"/>
      <c r="AE135" s="217"/>
      <c r="AF135" s="217"/>
      <c r="AG135" s="217"/>
      <c r="AH135" s="217"/>
      <c r="AI135" s="217"/>
      <c r="AJ135" s="217"/>
      <c r="AK135" s="217"/>
      <c r="AL135" s="49"/>
      <c r="AM135" s="49"/>
      <c r="AN135" s="49"/>
      <c r="AO135" s="49"/>
    </row>
    <row r="136" spans="11:41" ht="13.5" customHeight="1">
      <c r="K136" s="49"/>
      <c r="L136" s="49"/>
      <c r="M136" s="49"/>
      <c r="N136" s="49"/>
      <c r="O136" s="49"/>
      <c r="P136" s="49"/>
      <c r="Q136" s="49"/>
      <c r="S136" s="49"/>
      <c r="U136" s="110"/>
      <c r="V136" s="217"/>
      <c r="W136" s="217"/>
      <c r="X136" s="217"/>
      <c r="Y136" s="217"/>
      <c r="Z136" s="217"/>
      <c r="AA136" s="217"/>
      <c r="AB136" s="217"/>
      <c r="AC136" s="217"/>
      <c r="AD136" s="217"/>
      <c r="AE136" s="217"/>
      <c r="AF136" s="217"/>
      <c r="AG136" s="217"/>
      <c r="AH136" s="217"/>
      <c r="AI136" s="217"/>
      <c r="AJ136" s="217"/>
      <c r="AK136" s="217"/>
      <c r="AL136" s="49"/>
      <c r="AM136" s="49"/>
      <c r="AN136" s="49"/>
      <c r="AO136" s="49"/>
    </row>
    <row r="137" spans="11:41" ht="13.5" customHeight="1">
      <c r="K137" s="49"/>
      <c r="L137" s="49"/>
      <c r="M137" s="49"/>
      <c r="N137" s="49"/>
      <c r="O137" s="49"/>
      <c r="P137" s="49"/>
      <c r="Q137" s="49"/>
      <c r="S137" s="49"/>
      <c r="U137" s="110"/>
      <c r="V137" s="217"/>
      <c r="W137" s="217"/>
      <c r="X137" s="217"/>
      <c r="Y137" s="217"/>
      <c r="Z137" s="217"/>
      <c r="AA137" s="217"/>
      <c r="AB137" s="217"/>
      <c r="AC137" s="217"/>
      <c r="AD137" s="217"/>
      <c r="AE137" s="217"/>
      <c r="AF137" s="217"/>
      <c r="AG137" s="217"/>
      <c r="AH137" s="217"/>
      <c r="AI137" s="217"/>
      <c r="AJ137" s="217"/>
      <c r="AK137" s="217"/>
      <c r="AL137" s="49"/>
      <c r="AM137" s="49"/>
      <c r="AN137" s="49"/>
      <c r="AO137" s="49"/>
    </row>
    <row r="138" spans="11:41" ht="13.5" customHeight="1">
      <c r="K138" s="49"/>
      <c r="L138" s="49"/>
      <c r="M138" s="49"/>
      <c r="N138" s="49"/>
      <c r="O138" s="49"/>
      <c r="P138" s="49"/>
      <c r="Q138" s="49"/>
      <c r="S138" s="49"/>
      <c r="U138" s="110"/>
      <c r="V138" s="217"/>
      <c r="W138" s="217"/>
      <c r="X138" s="217"/>
      <c r="Y138" s="217"/>
      <c r="Z138" s="217"/>
      <c r="AA138" s="217"/>
      <c r="AB138" s="217"/>
      <c r="AC138" s="217"/>
      <c r="AD138" s="217"/>
      <c r="AE138" s="217"/>
      <c r="AF138" s="217"/>
      <c r="AG138" s="217"/>
      <c r="AH138" s="217"/>
      <c r="AI138" s="217"/>
      <c r="AJ138" s="217"/>
      <c r="AK138" s="217"/>
      <c r="AL138" s="49"/>
      <c r="AM138" s="49"/>
      <c r="AN138" s="49"/>
      <c r="AO138" s="49"/>
    </row>
    <row r="139" spans="11:41" ht="13.5" customHeight="1">
      <c r="K139" s="49"/>
      <c r="L139" s="49"/>
      <c r="M139" s="49"/>
      <c r="N139" s="49"/>
      <c r="O139" s="49"/>
      <c r="P139" s="49"/>
      <c r="Q139" s="49"/>
      <c r="S139" s="49"/>
      <c r="U139" s="110"/>
      <c r="V139" s="217"/>
      <c r="W139" s="217"/>
      <c r="X139" s="217"/>
      <c r="Y139" s="217"/>
      <c r="Z139" s="217"/>
      <c r="AA139" s="217"/>
      <c r="AB139" s="217"/>
      <c r="AC139" s="217"/>
      <c r="AD139" s="217"/>
      <c r="AE139" s="217"/>
      <c r="AF139" s="217"/>
      <c r="AG139" s="217"/>
      <c r="AH139" s="217"/>
      <c r="AI139" s="217"/>
      <c r="AJ139" s="217"/>
      <c r="AK139" s="217"/>
      <c r="AL139" s="49"/>
      <c r="AM139" s="49"/>
      <c r="AN139" s="49"/>
      <c r="AO139" s="49"/>
    </row>
    <row r="140" spans="11:41" ht="13.5" customHeight="1">
      <c r="K140" s="49"/>
      <c r="L140" s="49"/>
      <c r="M140" s="49"/>
      <c r="N140" s="49"/>
      <c r="O140" s="49"/>
      <c r="P140" s="49"/>
      <c r="Q140" s="49"/>
      <c r="S140" s="49"/>
      <c r="U140" s="110"/>
      <c r="V140" s="217"/>
      <c r="W140" s="217"/>
      <c r="X140" s="217"/>
      <c r="Y140" s="217"/>
      <c r="Z140" s="217"/>
      <c r="AA140" s="217"/>
      <c r="AB140" s="217"/>
      <c r="AC140" s="217"/>
      <c r="AD140" s="217"/>
      <c r="AE140" s="217"/>
      <c r="AF140" s="217"/>
      <c r="AG140" s="217"/>
      <c r="AH140" s="217"/>
      <c r="AI140" s="217"/>
      <c r="AJ140" s="217"/>
      <c r="AK140" s="217"/>
      <c r="AL140" s="49"/>
      <c r="AM140" s="49"/>
      <c r="AN140" s="49"/>
      <c r="AO140" s="49"/>
    </row>
    <row r="141" spans="11:41" ht="13.5" customHeight="1">
      <c r="K141" s="49"/>
      <c r="L141" s="49"/>
      <c r="M141" s="49"/>
      <c r="N141" s="49"/>
      <c r="O141" s="49"/>
      <c r="P141" s="49"/>
      <c r="Q141" s="49"/>
      <c r="S141" s="49"/>
      <c r="U141" s="110"/>
      <c r="V141" s="217"/>
      <c r="W141" s="217"/>
      <c r="X141" s="217"/>
      <c r="Y141" s="217"/>
      <c r="Z141" s="217"/>
      <c r="AA141" s="217"/>
      <c r="AB141" s="217"/>
      <c r="AC141" s="217"/>
      <c r="AD141" s="217"/>
      <c r="AE141" s="217"/>
      <c r="AF141" s="217"/>
      <c r="AG141" s="217"/>
      <c r="AH141" s="217"/>
      <c r="AI141" s="217"/>
      <c r="AJ141" s="217"/>
      <c r="AK141" s="217"/>
      <c r="AL141" s="49"/>
      <c r="AM141" s="49"/>
      <c r="AN141" s="49"/>
      <c r="AO141" s="49"/>
    </row>
    <row r="142" spans="11:41" ht="13.5" customHeight="1">
      <c r="K142" s="49"/>
      <c r="L142" s="49"/>
      <c r="M142" s="49"/>
      <c r="N142" s="49"/>
      <c r="O142" s="49"/>
      <c r="P142" s="49"/>
      <c r="Q142" s="49"/>
      <c r="S142" s="49"/>
      <c r="U142" s="110"/>
      <c r="V142" s="217"/>
      <c r="W142" s="217"/>
      <c r="X142" s="217"/>
      <c r="Y142" s="217"/>
      <c r="Z142" s="217"/>
      <c r="AA142" s="217"/>
      <c r="AB142" s="217"/>
      <c r="AC142" s="217"/>
      <c r="AD142" s="217"/>
      <c r="AE142" s="217"/>
      <c r="AF142" s="217"/>
      <c r="AG142" s="217"/>
      <c r="AH142" s="217"/>
      <c r="AI142" s="217"/>
      <c r="AJ142" s="217"/>
      <c r="AK142" s="217"/>
      <c r="AL142" s="49"/>
      <c r="AM142" s="49"/>
      <c r="AN142" s="49"/>
      <c r="AO142" s="49"/>
    </row>
    <row r="143" spans="11:41" ht="13.5" customHeight="1">
      <c r="K143" s="49"/>
      <c r="L143" s="49"/>
      <c r="M143" s="49"/>
      <c r="N143" s="49"/>
      <c r="O143" s="49"/>
      <c r="P143" s="49"/>
      <c r="Q143" s="49"/>
      <c r="S143" s="49"/>
      <c r="U143" s="110"/>
      <c r="V143" s="217"/>
      <c r="W143" s="217"/>
      <c r="X143" s="217"/>
      <c r="Y143" s="217"/>
      <c r="Z143" s="217"/>
      <c r="AA143" s="217"/>
      <c r="AB143" s="217"/>
      <c r="AC143" s="217"/>
      <c r="AD143" s="217"/>
      <c r="AE143" s="217"/>
      <c r="AF143" s="217"/>
      <c r="AG143" s="217"/>
      <c r="AH143" s="217"/>
      <c r="AI143" s="217"/>
      <c r="AJ143" s="217"/>
      <c r="AK143" s="217"/>
      <c r="AL143" s="49"/>
      <c r="AM143" s="49"/>
      <c r="AN143" s="49"/>
      <c r="AO143" s="49"/>
    </row>
    <row r="144" spans="11:41" ht="13.5" customHeight="1">
      <c r="K144" s="49"/>
      <c r="L144" s="49"/>
      <c r="M144" s="49"/>
      <c r="N144" s="49"/>
      <c r="O144" s="49"/>
      <c r="P144" s="49"/>
      <c r="Q144" s="49"/>
      <c r="S144" s="49"/>
      <c r="U144" s="110"/>
      <c r="V144" s="217"/>
      <c r="W144" s="217"/>
      <c r="X144" s="217"/>
      <c r="Y144" s="217"/>
      <c r="Z144" s="217"/>
      <c r="AA144" s="217"/>
      <c r="AB144" s="217"/>
      <c r="AC144" s="217"/>
      <c r="AD144" s="217"/>
      <c r="AE144" s="217"/>
      <c r="AF144" s="217"/>
      <c r="AG144" s="217"/>
      <c r="AH144" s="217"/>
      <c r="AI144" s="217"/>
      <c r="AJ144" s="217"/>
      <c r="AK144" s="217"/>
      <c r="AL144" s="49"/>
      <c r="AM144" s="49"/>
      <c r="AN144" s="49"/>
      <c r="AO144" s="49"/>
    </row>
    <row r="145" spans="11:41" ht="13.5" customHeight="1">
      <c r="K145" s="49"/>
      <c r="L145" s="49"/>
      <c r="M145" s="49"/>
      <c r="N145" s="49"/>
      <c r="O145" s="49"/>
      <c r="P145" s="49"/>
      <c r="Q145" s="49"/>
      <c r="S145" s="49"/>
      <c r="U145" s="110"/>
      <c r="V145" s="217"/>
      <c r="W145" s="217"/>
      <c r="X145" s="217"/>
      <c r="Y145" s="217"/>
      <c r="Z145" s="217"/>
      <c r="AA145" s="217"/>
      <c r="AB145" s="217"/>
      <c r="AC145" s="217"/>
      <c r="AD145" s="217"/>
      <c r="AE145" s="217"/>
      <c r="AF145" s="217"/>
      <c r="AG145" s="217"/>
      <c r="AH145" s="217"/>
      <c r="AI145" s="217"/>
      <c r="AJ145" s="217"/>
      <c r="AK145" s="217"/>
      <c r="AL145" s="49"/>
      <c r="AM145" s="49"/>
      <c r="AN145" s="49"/>
      <c r="AO145" s="49"/>
    </row>
    <row r="146" spans="11:41" ht="13.5" customHeight="1">
      <c r="K146" s="49"/>
      <c r="L146" s="49"/>
      <c r="M146" s="49"/>
      <c r="N146" s="49"/>
      <c r="O146" s="49"/>
      <c r="P146" s="49"/>
      <c r="Q146" s="49"/>
      <c r="S146" s="49"/>
      <c r="U146" s="110"/>
      <c r="V146" s="217"/>
      <c r="W146" s="217"/>
      <c r="X146" s="217"/>
      <c r="Y146" s="217"/>
      <c r="Z146" s="217"/>
      <c r="AA146" s="217"/>
      <c r="AB146" s="217"/>
      <c r="AC146" s="217"/>
      <c r="AD146" s="217"/>
      <c r="AE146" s="217"/>
      <c r="AF146" s="217"/>
      <c r="AG146" s="217"/>
      <c r="AH146" s="217"/>
      <c r="AI146" s="217"/>
      <c r="AJ146" s="217"/>
      <c r="AK146" s="217"/>
      <c r="AL146" s="49"/>
      <c r="AM146" s="49"/>
      <c r="AN146" s="49"/>
      <c r="AO146" s="49"/>
    </row>
    <row r="147" spans="11:41" ht="13.5" customHeight="1">
      <c r="K147" s="49"/>
      <c r="L147" s="49"/>
      <c r="M147" s="49"/>
      <c r="N147" s="49"/>
      <c r="O147" s="49"/>
      <c r="P147" s="49"/>
      <c r="Q147" s="49"/>
      <c r="S147" s="49"/>
      <c r="U147" s="110"/>
      <c r="V147" s="217"/>
      <c r="W147" s="217"/>
      <c r="X147" s="217"/>
      <c r="Y147" s="217"/>
      <c r="Z147" s="217"/>
      <c r="AA147" s="217"/>
      <c r="AB147" s="217"/>
      <c r="AC147" s="217"/>
      <c r="AD147" s="217"/>
      <c r="AE147" s="217"/>
      <c r="AF147" s="217"/>
      <c r="AG147" s="217"/>
      <c r="AH147" s="217"/>
      <c r="AI147" s="217"/>
      <c r="AJ147" s="217"/>
      <c r="AK147" s="217"/>
      <c r="AL147" s="49"/>
      <c r="AM147" s="49"/>
      <c r="AN147" s="49"/>
      <c r="AO147" s="49"/>
    </row>
    <row r="148" spans="11:41" ht="13.5" customHeight="1">
      <c r="K148" s="49"/>
      <c r="L148" s="49"/>
      <c r="M148" s="49"/>
      <c r="N148" s="49"/>
      <c r="O148" s="49"/>
      <c r="P148" s="49"/>
      <c r="Q148" s="49"/>
      <c r="S148" s="49"/>
      <c r="U148" s="110"/>
      <c r="V148" s="217"/>
      <c r="W148" s="217"/>
      <c r="X148" s="217"/>
      <c r="Y148" s="217"/>
      <c r="Z148" s="217"/>
      <c r="AA148" s="217"/>
      <c r="AB148" s="217"/>
      <c r="AC148" s="217"/>
      <c r="AD148" s="217"/>
      <c r="AE148" s="217"/>
      <c r="AF148" s="217"/>
      <c r="AG148" s="217"/>
      <c r="AH148" s="217"/>
      <c r="AI148" s="217"/>
      <c r="AJ148" s="217"/>
      <c r="AK148" s="217"/>
      <c r="AL148" s="49"/>
      <c r="AM148" s="49"/>
      <c r="AN148" s="49"/>
      <c r="AO148" s="49"/>
    </row>
    <row r="149" spans="11:41" ht="13.5" customHeight="1">
      <c r="K149" s="49"/>
      <c r="L149" s="49"/>
      <c r="M149" s="49"/>
      <c r="N149" s="49"/>
      <c r="O149" s="49"/>
      <c r="P149" s="49"/>
      <c r="Q149" s="49"/>
      <c r="S149" s="49"/>
      <c r="U149" s="110"/>
      <c r="V149" s="217"/>
      <c r="W149" s="217"/>
      <c r="X149" s="217"/>
      <c r="Y149" s="217"/>
      <c r="Z149" s="217"/>
      <c r="AA149" s="217"/>
      <c r="AB149" s="217"/>
      <c r="AC149" s="217"/>
      <c r="AD149" s="217"/>
      <c r="AE149" s="217"/>
      <c r="AF149" s="217"/>
      <c r="AG149" s="217"/>
      <c r="AH149" s="217"/>
      <c r="AI149" s="217"/>
      <c r="AJ149" s="217"/>
      <c r="AK149" s="217"/>
      <c r="AL149" s="49"/>
      <c r="AM149" s="49"/>
      <c r="AN149" s="49"/>
      <c r="AO149" s="49"/>
    </row>
    <row r="150" spans="11:41" ht="13.5" customHeight="1">
      <c r="K150" s="49"/>
      <c r="L150" s="49"/>
      <c r="M150" s="49"/>
      <c r="N150" s="49"/>
      <c r="O150" s="49"/>
      <c r="P150" s="49"/>
      <c r="Q150" s="49"/>
      <c r="S150" s="49"/>
      <c r="U150" s="110"/>
      <c r="V150" s="217"/>
      <c r="W150" s="217"/>
      <c r="X150" s="217"/>
      <c r="Y150" s="217"/>
      <c r="Z150" s="217"/>
      <c r="AA150" s="217"/>
      <c r="AB150" s="217"/>
      <c r="AC150" s="217"/>
      <c r="AD150" s="217"/>
      <c r="AE150" s="217"/>
      <c r="AF150" s="217"/>
      <c r="AG150" s="217"/>
      <c r="AH150" s="217"/>
      <c r="AI150" s="217"/>
      <c r="AJ150" s="217"/>
      <c r="AK150" s="217"/>
      <c r="AL150" s="49"/>
      <c r="AM150" s="49"/>
      <c r="AN150" s="49"/>
      <c r="AO150" s="49"/>
    </row>
    <row r="151" spans="11:41" ht="13.5" customHeight="1">
      <c r="K151" s="49"/>
      <c r="L151" s="49"/>
      <c r="M151" s="49"/>
      <c r="N151" s="49"/>
      <c r="O151" s="49"/>
      <c r="P151" s="49"/>
      <c r="Q151" s="49"/>
      <c r="S151" s="49"/>
      <c r="U151" s="110"/>
      <c r="V151" s="217"/>
      <c r="W151" s="217"/>
      <c r="X151" s="217"/>
      <c r="Y151" s="217"/>
      <c r="Z151" s="217"/>
      <c r="AA151" s="217"/>
      <c r="AB151" s="217"/>
      <c r="AC151" s="217"/>
      <c r="AD151" s="217"/>
      <c r="AE151" s="217"/>
      <c r="AF151" s="217"/>
      <c r="AG151" s="217"/>
      <c r="AH151" s="217"/>
      <c r="AI151" s="217"/>
      <c r="AJ151" s="217"/>
      <c r="AK151" s="217"/>
      <c r="AL151" s="49"/>
      <c r="AM151" s="49"/>
      <c r="AN151" s="49"/>
      <c r="AO151" s="49"/>
    </row>
    <row r="152" spans="11:41" ht="13.5" customHeight="1">
      <c r="K152" s="49"/>
      <c r="L152" s="49"/>
      <c r="M152" s="49"/>
      <c r="N152" s="49"/>
      <c r="O152" s="49"/>
      <c r="P152" s="49"/>
      <c r="Q152" s="49"/>
      <c r="S152" s="49"/>
      <c r="U152" s="110"/>
      <c r="V152" s="217"/>
      <c r="W152" s="217"/>
      <c r="X152" s="217"/>
      <c r="Y152" s="217"/>
      <c r="Z152" s="217"/>
      <c r="AA152" s="217"/>
      <c r="AB152" s="217"/>
      <c r="AC152" s="217"/>
      <c r="AD152" s="217"/>
      <c r="AE152" s="217"/>
      <c r="AF152" s="217"/>
      <c r="AG152" s="217"/>
      <c r="AH152" s="217"/>
      <c r="AI152" s="217"/>
      <c r="AJ152" s="217"/>
      <c r="AK152" s="217"/>
      <c r="AL152" s="49"/>
      <c r="AM152" s="49"/>
      <c r="AN152" s="49"/>
      <c r="AO152" s="49"/>
    </row>
    <row r="153" spans="11:41" ht="13.5" customHeight="1">
      <c r="K153" s="49"/>
      <c r="L153" s="49"/>
      <c r="M153" s="49"/>
      <c r="N153" s="49"/>
      <c r="O153" s="49"/>
      <c r="P153" s="49"/>
      <c r="Q153" s="49"/>
      <c r="S153" s="49"/>
      <c r="U153" s="110"/>
      <c r="V153" s="217"/>
      <c r="W153" s="217"/>
      <c r="X153" s="217"/>
      <c r="Y153" s="217"/>
      <c r="Z153" s="217"/>
      <c r="AA153" s="217"/>
      <c r="AB153" s="217"/>
      <c r="AC153" s="217"/>
      <c r="AD153" s="217"/>
      <c r="AE153" s="217"/>
      <c r="AF153" s="217"/>
      <c r="AG153" s="217"/>
      <c r="AH153" s="217"/>
      <c r="AI153" s="217"/>
      <c r="AJ153" s="217"/>
      <c r="AK153" s="217"/>
      <c r="AL153" s="49"/>
      <c r="AM153" s="49"/>
      <c r="AN153" s="49"/>
      <c r="AO153" s="49"/>
    </row>
    <row r="154" spans="11:41" ht="13.5" customHeight="1">
      <c r="K154" s="49"/>
      <c r="L154" s="49"/>
      <c r="M154" s="49"/>
      <c r="N154" s="49"/>
      <c r="O154" s="49"/>
      <c r="P154" s="49"/>
      <c r="Q154" s="49"/>
      <c r="S154" s="49"/>
      <c r="U154" s="110"/>
      <c r="V154" s="217"/>
      <c r="W154" s="217"/>
      <c r="X154" s="217"/>
      <c r="Y154" s="217"/>
      <c r="Z154" s="217"/>
      <c r="AA154" s="217"/>
      <c r="AB154" s="217"/>
      <c r="AC154" s="217"/>
      <c r="AD154" s="217"/>
      <c r="AE154" s="217"/>
      <c r="AF154" s="217"/>
      <c r="AG154" s="217"/>
      <c r="AH154" s="217"/>
      <c r="AI154" s="217"/>
      <c r="AJ154" s="217"/>
      <c r="AK154" s="217"/>
      <c r="AL154" s="49"/>
      <c r="AM154" s="49"/>
      <c r="AN154" s="49"/>
      <c r="AO154" s="49"/>
    </row>
    <row r="155" spans="11:41" ht="13.5" customHeight="1">
      <c r="K155" s="49"/>
      <c r="L155" s="49"/>
      <c r="M155" s="49"/>
      <c r="N155" s="49"/>
      <c r="O155" s="49"/>
      <c r="P155" s="49"/>
      <c r="Q155" s="49"/>
      <c r="S155" s="49"/>
      <c r="U155" s="110"/>
      <c r="V155" s="217"/>
      <c r="W155" s="217"/>
      <c r="X155" s="217"/>
      <c r="Y155" s="217"/>
      <c r="Z155" s="217"/>
      <c r="AA155" s="217"/>
      <c r="AB155" s="217"/>
      <c r="AC155" s="217"/>
      <c r="AD155" s="217"/>
      <c r="AE155" s="217"/>
      <c r="AF155" s="217"/>
      <c r="AG155" s="217"/>
      <c r="AH155" s="217"/>
      <c r="AI155" s="217"/>
      <c r="AJ155" s="217"/>
      <c r="AK155" s="217"/>
      <c r="AL155" s="49"/>
      <c r="AM155" s="49"/>
      <c r="AN155" s="49"/>
      <c r="AO155" s="49"/>
    </row>
    <row r="156" spans="11:41" ht="13.5" customHeight="1">
      <c r="K156" s="49"/>
      <c r="L156" s="49"/>
      <c r="M156" s="49"/>
      <c r="N156" s="49"/>
      <c r="O156" s="49"/>
      <c r="P156" s="49"/>
      <c r="Q156" s="49"/>
      <c r="S156" s="49"/>
      <c r="U156" s="110"/>
      <c r="V156" s="217"/>
      <c r="W156" s="217"/>
      <c r="X156" s="217"/>
      <c r="Y156" s="217"/>
      <c r="Z156" s="217"/>
      <c r="AA156" s="217"/>
      <c r="AB156" s="217"/>
      <c r="AC156" s="217"/>
      <c r="AD156" s="217"/>
      <c r="AE156" s="217"/>
      <c r="AF156" s="217"/>
      <c r="AG156" s="217"/>
      <c r="AH156" s="217"/>
      <c r="AI156" s="217"/>
      <c r="AJ156" s="217"/>
      <c r="AK156" s="217"/>
      <c r="AL156" s="49"/>
      <c r="AM156" s="49"/>
      <c r="AN156" s="49"/>
      <c r="AO156" s="49"/>
    </row>
    <row r="157" spans="11:41" ht="13.5" customHeight="1">
      <c r="K157" s="49"/>
      <c r="L157" s="49"/>
      <c r="M157" s="49"/>
      <c r="N157" s="49"/>
      <c r="O157" s="49"/>
      <c r="P157" s="49"/>
      <c r="Q157" s="49"/>
      <c r="S157" s="49"/>
      <c r="U157" s="110"/>
      <c r="V157" s="217"/>
      <c r="W157" s="217"/>
      <c r="X157" s="217"/>
      <c r="Y157" s="217"/>
      <c r="Z157" s="217"/>
      <c r="AA157" s="217"/>
      <c r="AB157" s="217"/>
      <c r="AC157" s="217"/>
      <c r="AD157" s="217"/>
      <c r="AE157" s="217"/>
      <c r="AF157" s="217"/>
      <c r="AG157" s="217"/>
      <c r="AH157" s="217"/>
      <c r="AI157" s="217"/>
      <c r="AJ157" s="217"/>
      <c r="AK157" s="217"/>
      <c r="AL157" s="49"/>
      <c r="AM157" s="49"/>
      <c r="AN157" s="49"/>
      <c r="AO157" s="49"/>
    </row>
    <row r="158" spans="11:41" ht="13.5" customHeight="1">
      <c r="K158" s="49"/>
      <c r="L158" s="49"/>
      <c r="M158" s="49"/>
      <c r="N158" s="49"/>
      <c r="O158" s="49"/>
      <c r="P158" s="49"/>
      <c r="Q158" s="49"/>
      <c r="S158" s="49"/>
      <c r="U158" s="110"/>
      <c r="V158" s="217"/>
      <c r="W158" s="217"/>
      <c r="X158" s="217"/>
      <c r="Y158" s="217"/>
      <c r="Z158" s="217"/>
      <c r="AA158" s="217"/>
      <c r="AB158" s="217"/>
      <c r="AC158" s="217"/>
      <c r="AD158" s="217"/>
      <c r="AE158" s="217"/>
      <c r="AF158" s="217"/>
      <c r="AG158" s="217"/>
      <c r="AH158" s="217"/>
      <c r="AI158" s="217"/>
      <c r="AJ158" s="217"/>
      <c r="AK158" s="217"/>
      <c r="AL158" s="49"/>
      <c r="AM158" s="49"/>
      <c r="AN158" s="49"/>
      <c r="AO158" s="49"/>
    </row>
    <row r="159" spans="11:41" ht="13.5" customHeight="1">
      <c r="K159" s="49"/>
      <c r="L159" s="49"/>
      <c r="M159" s="49"/>
      <c r="N159" s="49"/>
      <c r="O159" s="49"/>
      <c r="P159" s="49"/>
      <c r="Q159" s="49"/>
      <c r="S159" s="49"/>
      <c r="U159" s="110"/>
      <c r="V159" s="217"/>
      <c r="W159" s="217"/>
      <c r="X159" s="217"/>
      <c r="Y159" s="217"/>
      <c r="Z159" s="217"/>
      <c r="AA159" s="217"/>
      <c r="AB159" s="217"/>
      <c r="AC159" s="217"/>
      <c r="AD159" s="217"/>
      <c r="AE159" s="217"/>
      <c r="AF159" s="217"/>
      <c r="AG159" s="217"/>
      <c r="AH159" s="217"/>
      <c r="AI159" s="217"/>
      <c r="AJ159" s="217"/>
      <c r="AK159" s="217"/>
      <c r="AL159" s="49"/>
      <c r="AM159" s="49"/>
      <c r="AN159" s="49"/>
      <c r="AO159" s="49"/>
    </row>
    <row r="160" spans="11:41" ht="13.5" customHeight="1">
      <c r="K160" s="49"/>
      <c r="L160" s="49"/>
      <c r="M160" s="49"/>
      <c r="N160" s="49"/>
      <c r="O160" s="49"/>
      <c r="P160" s="49"/>
      <c r="Q160" s="49"/>
      <c r="S160" s="49"/>
      <c r="U160" s="110"/>
      <c r="V160" s="217"/>
      <c r="W160" s="217"/>
      <c r="X160" s="217"/>
      <c r="Y160" s="217"/>
      <c r="Z160" s="217"/>
      <c r="AA160" s="217"/>
      <c r="AB160" s="217"/>
      <c r="AC160" s="217"/>
      <c r="AD160" s="217"/>
      <c r="AE160" s="217"/>
      <c r="AF160" s="217"/>
      <c r="AG160" s="217"/>
      <c r="AH160" s="217"/>
      <c r="AI160" s="217"/>
      <c r="AJ160" s="217"/>
      <c r="AK160" s="217"/>
      <c r="AL160" s="49"/>
      <c r="AM160" s="49"/>
      <c r="AN160" s="49"/>
      <c r="AO160" s="49"/>
    </row>
    <row r="161" spans="11:41" ht="13.5" customHeight="1">
      <c r="K161" s="49"/>
      <c r="L161" s="49"/>
      <c r="M161" s="49"/>
      <c r="N161" s="49"/>
      <c r="O161" s="49"/>
      <c r="P161" s="49"/>
      <c r="Q161" s="49"/>
      <c r="S161" s="49"/>
      <c r="U161" s="110"/>
      <c r="V161" s="217"/>
      <c r="W161" s="217"/>
      <c r="X161" s="217"/>
      <c r="Y161" s="217"/>
      <c r="Z161" s="217"/>
      <c r="AA161" s="217"/>
      <c r="AB161" s="217"/>
      <c r="AC161" s="217"/>
      <c r="AD161" s="217"/>
      <c r="AE161" s="217"/>
      <c r="AF161" s="217"/>
      <c r="AG161" s="217"/>
      <c r="AH161" s="217"/>
      <c r="AI161" s="217"/>
      <c r="AJ161" s="217"/>
      <c r="AK161" s="217"/>
      <c r="AL161" s="49"/>
      <c r="AM161" s="49"/>
      <c r="AN161" s="49"/>
      <c r="AO161" s="49"/>
    </row>
    <row r="162" spans="11:41" ht="13.5" customHeight="1">
      <c r="K162" s="49"/>
      <c r="L162" s="49"/>
      <c r="M162" s="49"/>
      <c r="N162" s="49"/>
      <c r="O162" s="49"/>
      <c r="P162" s="49"/>
      <c r="Q162" s="49"/>
      <c r="S162" s="49"/>
      <c r="U162" s="110"/>
      <c r="V162" s="217"/>
      <c r="W162" s="217"/>
      <c r="X162" s="217"/>
      <c r="Y162" s="217"/>
      <c r="Z162" s="217"/>
      <c r="AA162" s="217"/>
      <c r="AB162" s="217"/>
      <c r="AC162" s="217"/>
      <c r="AD162" s="217"/>
      <c r="AE162" s="217"/>
      <c r="AF162" s="217"/>
      <c r="AG162" s="217"/>
      <c r="AH162" s="217"/>
      <c r="AI162" s="217"/>
      <c r="AJ162" s="217"/>
      <c r="AK162" s="217"/>
      <c r="AL162" s="49"/>
      <c r="AM162" s="49"/>
      <c r="AN162" s="49"/>
      <c r="AO162" s="49"/>
    </row>
    <row r="163" spans="11:41" ht="13.5" customHeight="1">
      <c r="K163" s="49"/>
      <c r="L163" s="49"/>
      <c r="M163" s="49"/>
      <c r="N163" s="49"/>
      <c r="O163" s="49"/>
      <c r="P163" s="49"/>
      <c r="Q163" s="49"/>
      <c r="S163" s="49"/>
      <c r="U163" s="110"/>
      <c r="V163" s="217"/>
      <c r="W163" s="217"/>
      <c r="X163" s="217"/>
      <c r="Y163" s="217"/>
      <c r="Z163" s="217"/>
      <c r="AA163" s="217"/>
      <c r="AB163" s="217"/>
      <c r="AC163" s="217"/>
      <c r="AD163" s="217"/>
      <c r="AE163" s="217"/>
      <c r="AF163" s="217"/>
      <c r="AG163" s="217"/>
      <c r="AH163" s="217"/>
      <c r="AI163" s="217"/>
      <c r="AJ163" s="217"/>
      <c r="AK163" s="217"/>
      <c r="AL163" s="49"/>
      <c r="AM163" s="49"/>
      <c r="AN163" s="49"/>
      <c r="AO163" s="49"/>
    </row>
    <row r="164" spans="11:41" ht="13.5" customHeight="1">
      <c r="K164" s="49"/>
      <c r="L164" s="49"/>
      <c r="M164" s="49"/>
      <c r="N164" s="49"/>
      <c r="O164" s="49"/>
      <c r="P164" s="49"/>
      <c r="Q164" s="49"/>
      <c r="S164" s="49"/>
      <c r="U164" s="110"/>
      <c r="V164" s="217"/>
      <c r="W164" s="217"/>
      <c r="X164" s="217"/>
      <c r="Y164" s="217"/>
      <c r="Z164" s="217"/>
      <c r="AA164" s="217"/>
      <c r="AB164" s="217"/>
      <c r="AC164" s="217"/>
      <c r="AD164" s="217"/>
      <c r="AE164" s="217"/>
      <c r="AF164" s="217"/>
      <c r="AG164" s="217"/>
      <c r="AH164" s="217"/>
      <c r="AI164" s="217"/>
      <c r="AJ164" s="217"/>
      <c r="AK164" s="217"/>
      <c r="AL164" s="49"/>
      <c r="AM164" s="49"/>
      <c r="AN164" s="49"/>
      <c r="AO164" s="49"/>
    </row>
    <row r="165" spans="11:41" ht="13.5" customHeight="1">
      <c r="K165" s="49"/>
      <c r="L165" s="49"/>
      <c r="M165" s="49"/>
      <c r="N165" s="49"/>
      <c r="O165" s="49"/>
      <c r="P165" s="49"/>
      <c r="Q165" s="49"/>
      <c r="S165" s="49"/>
      <c r="U165" s="110"/>
      <c r="V165" s="217"/>
      <c r="W165" s="217"/>
      <c r="X165" s="217"/>
      <c r="Y165" s="217"/>
      <c r="Z165" s="217"/>
      <c r="AA165" s="217"/>
      <c r="AB165" s="217"/>
      <c r="AC165" s="217"/>
      <c r="AD165" s="217"/>
      <c r="AE165" s="217"/>
      <c r="AF165" s="217"/>
      <c r="AG165" s="217"/>
      <c r="AH165" s="217"/>
      <c r="AI165" s="217"/>
      <c r="AJ165" s="217"/>
      <c r="AK165" s="217"/>
      <c r="AL165" s="49"/>
      <c r="AM165" s="49"/>
      <c r="AN165" s="49"/>
      <c r="AO165" s="49"/>
    </row>
    <row r="166" spans="11:41" ht="13.5" customHeight="1">
      <c r="K166" s="49"/>
      <c r="L166" s="49"/>
      <c r="M166" s="49"/>
      <c r="N166" s="49"/>
      <c r="O166" s="49"/>
      <c r="P166" s="49"/>
      <c r="Q166" s="49"/>
      <c r="S166" s="49"/>
      <c r="U166" s="110"/>
      <c r="V166" s="217"/>
      <c r="W166" s="217"/>
      <c r="X166" s="217"/>
      <c r="Y166" s="217"/>
      <c r="Z166" s="217"/>
      <c r="AA166" s="217"/>
      <c r="AB166" s="217"/>
      <c r="AC166" s="217"/>
      <c r="AD166" s="217"/>
      <c r="AE166" s="217"/>
      <c r="AF166" s="217"/>
      <c r="AG166" s="217"/>
      <c r="AH166" s="217"/>
      <c r="AI166" s="217"/>
      <c r="AJ166" s="217"/>
      <c r="AK166" s="217"/>
      <c r="AL166" s="49"/>
      <c r="AM166" s="49"/>
      <c r="AN166" s="49"/>
      <c r="AO166" s="49"/>
    </row>
    <row r="167" spans="11:41" ht="13.5" customHeight="1">
      <c r="K167" s="49"/>
      <c r="L167" s="49"/>
      <c r="M167" s="49"/>
      <c r="N167" s="49"/>
      <c r="O167" s="49"/>
      <c r="P167" s="49"/>
      <c r="Q167" s="49"/>
      <c r="S167" s="49"/>
      <c r="U167" s="110"/>
      <c r="V167" s="217"/>
      <c r="W167" s="217"/>
      <c r="X167" s="217"/>
      <c r="Y167" s="217"/>
      <c r="Z167" s="217"/>
      <c r="AA167" s="217"/>
      <c r="AB167" s="217"/>
      <c r="AC167" s="217"/>
      <c r="AD167" s="217"/>
      <c r="AE167" s="217"/>
      <c r="AF167" s="217"/>
      <c r="AG167" s="217"/>
      <c r="AH167" s="217"/>
      <c r="AI167" s="217"/>
      <c r="AJ167" s="217"/>
      <c r="AK167" s="217"/>
      <c r="AL167" s="49"/>
      <c r="AM167" s="49"/>
      <c r="AN167" s="49"/>
      <c r="AO167" s="49"/>
    </row>
    <row r="168" spans="11:41" ht="13.5" customHeight="1">
      <c r="K168" s="49"/>
      <c r="L168" s="49"/>
      <c r="M168" s="49"/>
      <c r="N168" s="49"/>
      <c r="O168" s="49"/>
      <c r="P168" s="49"/>
      <c r="Q168" s="49"/>
      <c r="S168" s="49"/>
      <c r="U168" s="110"/>
      <c r="V168" s="217"/>
      <c r="W168" s="217"/>
      <c r="X168" s="217"/>
      <c r="Y168" s="217"/>
      <c r="Z168" s="217"/>
      <c r="AA168" s="217"/>
      <c r="AB168" s="217"/>
      <c r="AC168" s="217"/>
      <c r="AD168" s="217"/>
      <c r="AE168" s="217"/>
      <c r="AF168" s="217"/>
      <c r="AG168" s="217"/>
      <c r="AH168" s="217"/>
      <c r="AI168" s="217"/>
      <c r="AJ168" s="217"/>
      <c r="AK168" s="217"/>
      <c r="AL168" s="49"/>
      <c r="AM168" s="49"/>
      <c r="AN168" s="49"/>
      <c r="AO168" s="49"/>
    </row>
    <row r="169" spans="11:41" ht="13.5" customHeight="1">
      <c r="K169" s="49"/>
      <c r="L169" s="49"/>
      <c r="M169" s="49"/>
      <c r="N169" s="49"/>
      <c r="O169" s="49"/>
      <c r="P169" s="49"/>
      <c r="Q169" s="49"/>
      <c r="S169" s="49"/>
      <c r="U169" s="110"/>
      <c r="V169" s="217"/>
      <c r="W169" s="217"/>
      <c r="X169" s="217"/>
      <c r="Y169" s="217"/>
      <c r="Z169" s="217"/>
      <c r="AA169" s="217"/>
      <c r="AB169" s="217"/>
      <c r="AC169" s="217"/>
      <c r="AD169" s="217"/>
      <c r="AE169" s="217"/>
      <c r="AF169" s="217"/>
      <c r="AG169" s="217"/>
      <c r="AH169" s="217"/>
      <c r="AI169" s="217"/>
      <c r="AJ169" s="217"/>
      <c r="AK169" s="217"/>
      <c r="AL169" s="49"/>
      <c r="AM169" s="49"/>
      <c r="AN169" s="49"/>
      <c r="AO169" s="49"/>
    </row>
    <row r="170" spans="11:41" ht="13.5" customHeight="1">
      <c r="K170" s="49"/>
      <c r="L170" s="49"/>
      <c r="M170" s="49"/>
      <c r="N170" s="49"/>
      <c r="O170" s="49"/>
      <c r="P170" s="49"/>
      <c r="Q170" s="49"/>
      <c r="S170" s="49"/>
      <c r="U170" s="110"/>
      <c r="V170" s="217"/>
      <c r="W170" s="217"/>
      <c r="X170" s="217"/>
      <c r="Y170" s="217"/>
      <c r="Z170" s="217"/>
      <c r="AA170" s="217"/>
      <c r="AB170" s="217"/>
      <c r="AC170" s="217"/>
      <c r="AD170" s="217"/>
      <c r="AE170" s="217"/>
      <c r="AF170" s="217"/>
      <c r="AG170" s="217"/>
      <c r="AH170" s="217"/>
      <c r="AI170" s="217"/>
      <c r="AJ170" s="217"/>
      <c r="AK170" s="217"/>
      <c r="AL170" s="49"/>
      <c r="AM170" s="49"/>
      <c r="AN170" s="49"/>
      <c r="AO170" s="49"/>
    </row>
    <row r="171" spans="11:41" ht="13.5" customHeight="1">
      <c r="K171" s="49"/>
      <c r="L171" s="49"/>
      <c r="M171" s="49"/>
      <c r="N171" s="49"/>
      <c r="O171" s="49"/>
      <c r="P171" s="49"/>
      <c r="Q171" s="49"/>
      <c r="S171" s="49"/>
      <c r="U171" s="110"/>
      <c r="V171" s="217"/>
      <c r="W171" s="217"/>
      <c r="X171" s="217"/>
      <c r="Y171" s="217"/>
      <c r="Z171" s="217"/>
      <c r="AA171" s="217"/>
      <c r="AB171" s="217"/>
      <c r="AC171" s="217"/>
      <c r="AD171" s="217"/>
      <c r="AE171" s="217"/>
      <c r="AF171" s="217"/>
      <c r="AG171" s="217"/>
      <c r="AH171" s="217"/>
      <c r="AI171" s="217"/>
      <c r="AJ171" s="217"/>
      <c r="AK171" s="217"/>
      <c r="AL171" s="49"/>
      <c r="AM171" s="49"/>
      <c r="AN171" s="49"/>
      <c r="AO171" s="49"/>
    </row>
    <row r="172" spans="11:41" ht="13.5" customHeight="1">
      <c r="K172" s="49"/>
      <c r="L172" s="49"/>
      <c r="M172" s="49"/>
      <c r="N172" s="49"/>
      <c r="O172" s="49"/>
      <c r="P172" s="49"/>
      <c r="Q172" s="49"/>
      <c r="S172" s="49"/>
      <c r="U172" s="110"/>
      <c r="V172" s="217"/>
      <c r="W172" s="217"/>
      <c r="X172" s="217"/>
      <c r="Y172" s="217"/>
      <c r="Z172" s="217"/>
      <c r="AA172" s="217"/>
      <c r="AB172" s="217"/>
      <c r="AC172" s="217"/>
      <c r="AD172" s="217"/>
      <c r="AE172" s="217"/>
      <c r="AF172" s="217"/>
      <c r="AG172" s="217"/>
      <c r="AH172" s="217"/>
      <c r="AI172" s="217"/>
      <c r="AJ172" s="217"/>
      <c r="AK172" s="217"/>
      <c r="AL172" s="49"/>
      <c r="AM172" s="49"/>
      <c r="AN172" s="49"/>
      <c r="AO172" s="49"/>
    </row>
    <row r="173" spans="11:41" ht="13.5" customHeight="1">
      <c r="K173" s="49"/>
      <c r="L173" s="49"/>
      <c r="M173" s="49"/>
      <c r="N173" s="49"/>
      <c r="O173" s="49"/>
      <c r="P173" s="49"/>
      <c r="Q173" s="49"/>
      <c r="S173" s="49"/>
      <c r="U173" s="110"/>
      <c r="V173" s="217"/>
      <c r="W173" s="217"/>
      <c r="X173" s="217"/>
      <c r="Y173" s="217"/>
      <c r="Z173" s="217"/>
      <c r="AA173" s="217"/>
      <c r="AB173" s="217"/>
      <c r="AC173" s="217"/>
      <c r="AD173" s="217"/>
      <c r="AE173" s="217"/>
      <c r="AF173" s="217"/>
      <c r="AG173" s="217"/>
      <c r="AH173" s="217"/>
      <c r="AI173" s="217"/>
      <c r="AJ173" s="217"/>
      <c r="AK173" s="217"/>
      <c r="AL173" s="49"/>
      <c r="AM173" s="49"/>
      <c r="AN173" s="49"/>
      <c r="AO173" s="49"/>
    </row>
    <row r="174" spans="11:41" ht="13.5" customHeight="1">
      <c r="K174" s="49"/>
      <c r="L174" s="49"/>
      <c r="M174" s="49"/>
      <c r="N174" s="49"/>
      <c r="O174" s="49"/>
      <c r="P174" s="49"/>
      <c r="Q174" s="49"/>
      <c r="S174" s="49"/>
      <c r="U174" s="110"/>
      <c r="V174" s="217"/>
      <c r="W174" s="217"/>
      <c r="X174" s="217"/>
      <c r="Y174" s="217"/>
      <c r="Z174" s="217"/>
      <c r="AA174" s="217"/>
      <c r="AB174" s="217"/>
      <c r="AC174" s="217"/>
      <c r="AD174" s="217"/>
      <c r="AE174" s="217"/>
      <c r="AF174" s="217"/>
      <c r="AG174" s="217"/>
      <c r="AH174" s="217"/>
      <c r="AI174" s="217"/>
      <c r="AJ174" s="217"/>
      <c r="AK174" s="217"/>
      <c r="AL174" s="49"/>
      <c r="AM174" s="49"/>
      <c r="AN174" s="49"/>
      <c r="AO174" s="49"/>
    </row>
    <row r="175" spans="11:41" ht="13.5" customHeight="1">
      <c r="K175" s="49"/>
      <c r="L175" s="49"/>
      <c r="M175" s="49"/>
      <c r="N175" s="49"/>
      <c r="O175" s="49"/>
      <c r="P175" s="49"/>
      <c r="Q175" s="49"/>
      <c r="S175" s="49"/>
      <c r="U175" s="110"/>
      <c r="V175" s="217"/>
      <c r="W175" s="217"/>
      <c r="X175" s="217"/>
      <c r="Y175" s="217"/>
      <c r="Z175" s="217"/>
      <c r="AA175" s="217"/>
      <c r="AB175" s="217"/>
      <c r="AC175" s="217"/>
      <c r="AD175" s="217"/>
      <c r="AE175" s="217"/>
      <c r="AF175" s="217"/>
      <c r="AG175" s="217"/>
      <c r="AH175" s="217"/>
      <c r="AI175" s="217"/>
      <c r="AJ175" s="217"/>
      <c r="AK175" s="217"/>
      <c r="AL175" s="49"/>
      <c r="AM175" s="49"/>
      <c r="AN175" s="49"/>
      <c r="AO175" s="49"/>
    </row>
    <row r="176" spans="11:41" ht="13.5" customHeight="1">
      <c r="K176" s="49"/>
      <c r="L176" s="49"/>
      <c r="M176" s="49"/>
      <c r="N176" s="49"/>
      <c r="O176" s="49"/>
      <c r="P176" s="49"/>
      <c r="Q176" s="49"/>
      <c r="S176" s="49"/>
      <c r="U176" s="110"/>
      <c r="V176" s="217"/>
      <c r="W176" s="217"/>
      <c r="X176" s="217"/>
      <c r="Y176" s="217"/>
      <c r="Z176" s="217"/>
      <c r="AA176" s="217"/>
      <c r="AB176" s="217"/>
      <c r="AC176" s="217"/>
      <c r="AD176" s="217"/>
      <c r="AE176" s="217"/>
      <c r="AF176" s="217"/>
      <c r="AG176" s="217"/>
      <c r="AH176" s="217"/>
      <c r="AI176" s="217"/>
      <c r="AJ176" s="217"/>
      <c r="AK176" s="217"/>
      <c r="AL176" s="49"/>
      <c r="AM176" s="49"/>
      <c r="AN176" s="49"/>
      <c r="AO176" s="49"/>
    </row>
    <row r="177" spans="11:41" ht="13.5" customHeight="1">
      <c r="K177" s="49"/>
      <c r="L177" s="49"/>
      <c r="M177" s="49"/>
      <c r="N177" s="49"/>
      <c r="O177" s="49"/>
      <c r="P177" s="49"/>
      <c r="Q177" s="49"/>
      <c r="S177" s="49"/>
      <c r="U177" s="110"/>
      <c r="V177" s="217"/>
      <c r="W177" s="217"/>
      <c r="X177" s="217"/>
      <c r="Y177" s="217"/>
      <c r="Z177" s="217"/>
      <c r="AA177" s="217"/>
      <c r="AB177" s="217"/>
      <c r="AC177" s="217"/>
      <c r="AD177" s="217"/>
      <c r="AE177" s="217"/>
      <c r="AF177" s="217"/>
      <c r="AG177" s="217"/>
      <c r="AH177" s="217"/>
      <c r="AI177" s="217"/>
      <c r="AJ177" s="217"/>
      <c r="AK177" s="217"/>
      <c r="AL177" s="49"/>
      <c r="AM177" s="49"/>
      <c r="AN177" s="49"/>
      <c r="AO177" s="49"/>
    </row>
    <row r="178" spans="11:41" ht="13.5" customHeight="1">
      <c r="K178" s="49"/>
      <c r="L178" s="49"/>
      <c r="M178" s="49"/>
      <c r="N178" s="49"/>
      <c r="O178" s="49"/>
      <c r="P178" s="49"/>
      <c r="Q178" s="49"/>
      <c r="S178" s="49"/>
      <c r="U178" s="110"/>
      <c r="V178" s="217"/>
      <c r="W178" s="217"/>
      <c r="X178" s="217"/>
      <c r="Y178" s="217"/>
      <c r="Z178" s="217"/>
      <c r="AA178" s="217"/>
      <c r="AB178" s="217"/>
      <c r="AC178" s="217"/>
      <c r="AD178" s="217"/>
      <c r="AE178" s="217"/>
      <c r="AF178" s="217"/>
      <c r="AG178" s="217"/>
      <c r="AH178" s="217"/>
      <c r="AI178" s="217"/>
      <c r="AJ178" s="217"/>
      <c r="AK178" s="217"/>
      <c r="AL178" s="49"/>
      <c r="AM178" s="49"/>
      <c r="AN178" s="49"/>
      <c r="AO178" s="49"/>
    </row>
    <row r="179" spans="11:41" ht="13.5" customHeight="1">
      <c r="K179" s="49"/>
      <c r="L179" s="49"/>
      <c r="M179" s="49"/>
      <c r="N179" s="49"/>
      <c r="O179" s="49"/>
      <c r="P179" s="49"/>
      <c r="Q179" s="49"/>
      <c r="S179" s="49"/>
      <c r="U179" s="110"/>
      <c r="V179" s="217"/>
      <c r="W179" s="217"/>
      <c r="X179" s="217"/>
      <c r="Y179" s="217"/>
      <c r="Z179" s="217"/>
      <c r="AA179" s="217"/>
      <c r="AB179" s="217"/>
      <c r="AC179" s="217"/>
      <c r="AD179" s="217"/>
      <c r="AE179" s="217"/>
      <c r="AF179" s="217"/>
      <c r="AG179" s="217"/>
      <c r="AH179" s="217"/>
      <c r="AI179" s="217"/>
      <c r="AJ179" s="217"/>
      <c r="AK179" s="217"/>
      <c r="AL179" s="49"/>
      <c r="AM179" s="49"/>
      <c r="AN179" s="49"/>
      <c r="AO179" s="49"/>
    </row>
    <row r="180" spans="11:41" ht="13.5" customHeight="1">
      <c r="K180" s="49"/>
      <c r="L180" s="49"/>
      <c r="M180" s="49"/>
      <c r="N180" s="49"/>
      <c r="O180" s="49"/>
      <c r="P180" s="49"/>
      <c r="Q180" s="49"/>
      <c r="S180" s="49"/>
      <c r="U180" s="110"/>
      <c r="V180" s="217"/>
      <c r="W180" s="217"/>
      <c r="X180" s="217"/>
      <c r="Y180" s="217"/>
      <c r="Z180" s="217"/>
      <c r="AA180" s="217"/>
      <c r="AB180" s="217"/>
      <c r="AC180" s="217"/>
      <c r="AD180" s="217"/>
      <c r="AE180" s="217"/>
      <c r="AF180" s="217"/>
      <c r="AG180" s="217"/>
      <c r="AH180" s="217"/>
      <c r="AI180" s="217"/>
      <c r="AJ180" s="217"/>
      <c r="AK180" s="217"/>
      <c r="AL180" s="49"/>
      <c r="AM180" s="49"/>
      <c r="AN180" s="49"/>
      <c r="AO180" s="49"/>
    </row>
    <row r="181" spans="11:41" ht="13.5" customHeight="1">
      <c r="K181" s="49"/>
      <c r="L181" s="49"/>
      <c r="M181" s="49"/>
      <c r="N181" s="49"/>
      <c r="O181" s="49"/>
      <c r="P181" s="49"/>
      <c r="Q181" s="49"/>
      <c r="S181" s="49"/>
      <c r="U181" s="110"/>
      <c r="V181" s="217"/>
      <c r="W181" s="217"/>
      <c r="X181" s="217"/>
      <c r="Y181" s="217"/>
      <c r="Z181" s="217"/>
      <c r="AA181" s="217"/>
      <c r="AB181" s="217"/>
      <c r="AC181" s="217"/>
      <c r="AD181" s="217"/>
      <c r="AE181" s="217"/>
      <c r="AF181" s="217"/>
      <c r="AG181" s="217"/>
      <c r="AH181" s="217"/>
      <c r="AI181" s="217"/>
      <c r="AJ181" s="217"/>
      <c r="AK181" s="217"/>
      <c r="AL181" s="49"/>
      <c r="AM181" s="49"/>
      <c r="AN181" s="49"/>
      <c r="AO181" s="49"/>
    </row>
    <row r="182" spans="11:41" ht="13.5" customHeight="1">
      <c r="K182" s="49"/>
      <c r="L182" s="49"/>
      <c r="M182" s="49"/>
      <c r="N182" s="49"/>
      <c r="O182" s="49"/>
      <c r="P182" s="49"/>
      <c r="Q182" s="49"/>
      <c r="S182" s="49"/>
      <c r="U182" s="110"/>
      <c r="V182" s="217"/>
      <c r="W182" s="217"/>
      <c r="X182" s="217"/>
      <c r="Y182" s="217"/>
      <c r="Z182" s="217"/>
      <c r="AA182" s="217"/>
      <c r="AB182" s="217"/>
      <c r="AC182" s="217"/>
      <c r="AD182" s="217"/>
      <c r="AE182" s="217"/>
      <c r="AF182" s="217"/>
      <c r="AG182" s="217"/>
      <c r="AH182" s="217"/>
      <c r="AI182" s="217"/>
      <c r="AJ182" s="217"/>
      <c r="AK182" s="217"/>
      <c r="AL182" s="49"/>
      <c r="AM182" s="49"/>
      <c r="AN182" s="49"/>
      <c r="AO182" s="49"/>
    </row>
    <row r="183" spans="11:41" ht="13.5" customHeight="1">
      <c r="K183" s="49"/>
      <c r="L183" s="49"/>
      <c r="M183" s="49"/>
      <c r="N183" s="49"/>
      <c r="O183" s="49"/>
      <c r="P183" s="49"/>
      <c r="Q183" s="49"/>
      <c r="S183" s="49"/>
      <c r="U183" s="110"/>
      <c r="V183" s="217"/>
      <c r="W183" s="217"/>
      <c r="X183" s="217"/>
      <c r="Y183" s="217"/>
      <c r="Z183" s="217"/>
      <c r="AA183" s="217"/>
      <c r="AB183" s="217"/>
      <c r="AC183" s="217"/>
      <c r="AD183" s="217"/>
      <c r="AE183" s="217"/>
      <c r="AF183" s="217"/>
      <c r="AG183" s="217"/>
      <c r="AH183" s="217"/>
      <c r="AI183" s="217"/>
      <c r="AJ183" s="217"/>
      <c r="AK183" s="217"/>
      <c r="AL183" s="49"/>
      <c r="AM183" s="49"/>
      <c r="AN183" s="49"/>
      <c r="AO183" s="49"/>
    </row>
    <row r="184" spans="11:41" ht="13.5" customHeight="1">
      <c r="K184" s="49"/>
      <c r="L184" s="49"/>
      <c r="M184" s="49"/>
      <c r="N184" s="49"/>
      <c r="O184" s="49"/>
      <c r="P184" s="49"/>
      <c r="Q184" s="49"/>
      <c r="S184" s="49"/>
      <c r="U184" s="110"/>
      <c r="V184" s="217"/>
      <c r="W184" s="217"/>
      <c r="X184" s="217"/>
      <c r="Y184" s="217"/>
      <c r="Z184" s="217"/>
      <c r="AA184" s="217"/>
      <c r="AB184" s="217"/>
      <c r="AC184" s="217"/>
      <c r="AD184" s="217"/>
      <c r="AE184" s="217"/>
      <c r="AF184" s="217"/>
      <c r="AG184" s="217"/>
      <c r="AH184" s="217"/>
      <c r="AI184" s="217"/>
      <c r="AJ184" s="217"/>
      <c r="AK184" s="217"/>
      <c r="AL184" s="49"/>
      <c r="AM184" s="49"/>
      <c r="AN184" s="49"/>
      <c r="AO184" s="49"/>
    </row>
    <row r="185" spans="11:41" ht="13.5" customHeight="1">
      <c r="K185" s="49"/>
      <c r="L185" s="49"/>
      <c r="M185" s="49"/>
      <c r="N185" s="49"/>
      <c r="O185" s="49"/>
      <c r="P185" s="49"/>
      <c r="Q185" s="49"/>
      <c r="S185" s="49"/>
      <c r="U185" s="110"/>
      <c r="V185" s="217"/>
      <c r="W185" s="217"/>
      <c r="X185" s="217"/>
      <c r="Y185" s="217"/>
      <c r="Z185" s="217"/>
      <c r="AA185" s="217"/>
      <c r="AB185" s="217"/>
      <c r="AC185" s="217"/>
      <c r="AD185" s="217"/>
      <c r="AE185" s="217"/>
      <c r="AF185" s="217"/>
      <c r="AG185" s="217"/>
      <c r="AH185" s="217"/>
      <c r="AI185" s="217"/>
      <c r="AJ185" s="217"/>
      <c r="AK185" s="217"/>
      <c r="AL185" s="49"/>
      <c r="AM185" s="49"/>
      <c r="AN185" s="49"/>
      <c r="AO185" s="49"/>
    </row>
    <row r="186" spans="11:41" ht="13.5" customHeight="1">
      <c r="K186" s="49"/>
      <c r="L186" s="49"/>
      <c r="M186" s="49"/>
      <c r="N186" s="49"/>
      <c r="O186" s="49"/>
      <c r="P186" s="49"/>
      <c r="Q186" s="49"/>
      <c r="S186" s="49"/>
      <c r="U186" s="110"/>
      <c r="V186" s="217"/>
      <c r="W186" s="217"/>
      <c r="X186" s="217"/>
      <c r="Y186" s="217"/>
      <c r="Z186" s="217"/>
      <c r="AA186" s="217"/>
      <c r="AB186" s="217"/>
      <c r="AC186" s="217"/>
      <c r="AD186" s="217"/>
      <c r="AE186" s="217"/>
      <c r="AF186" s="217"/>
      <c r="AG186" s="217"/>
      <c r="AH186" s="217"/>
      <c r="AI186" s="217"/>
      <c r="AJ186" s="217"/>
      <c r="AK186" s="217"/>
      <c r="AL186" s="49"/>
      <c r="AM186" s="49"/>
      <c r="AN186" s="49"/>
      <c r="AO186" s="49"/>
    </row>
    <row r="187" spans="11:41" ht="13.5" customHeight="1">
      <c r="K187" s="49"/>
      <c r="L187" s="49"/>
      <c r="M187" s="49"/>
      <c r="N187" s="49"/>
      <c r="O187" s="49"/>
      <c r="P187" s="49"/>
      <c r="Q187" s="49"/>
      <c r="S187" s="49"/>
      <c r="U187" s="110"/>
      <c r="V187" s="217"/>
      <c r="W187" s="217"/>
      <c r="X187" s="217"/>
      <c r="Y187" s="217"/>
      <c r="Z187" s="217"/>
      <c r="AA187" s="217"/>
      <c r="AB187" s="217"/>
      <c r="AC187" s="217"/>
      <c r="AD187" s="217"/>
      <c r="AE187" s="217"/>
      <c r="AF187" s="217"/>
      <c r="AG187" s="217"/>
      <c r="AH187" s="217"/>
      <c r="AI187" s="217"/>
      <c r="AJ187" s="217"/>
      <c r="AK187" s="217"/>
      <c r="AL187" s="49"/>
      <c r="AM187" s="49"/>
      <c r="AN187" s="49"/>
      <c r="AO187" s="49"/>
    </row>
    <row r="188" spans="11:41" ht="13.5" customHeight="1">
      <c r="K188" s="49"/>
      <c r="L188" s="49"/>
      <c r="M188" s="49"/>
      <c r="N188" s="49"/>
      <c r="O188" s="49"/>
      <c r="P188" s="49"/>
      <c r="Q188" s="49"/>
      <c r="S188" s="49"/>
      <c r="U188" s="110"/>
      <c r="V188" s="217"/>
      <c r="W188" s="217"/>
      <c r="X188" s="217"/>
      <c r="Y188" s="217"/>
      <c r="Z188" s="217"/>
      <c r="AA188" s="217"/>
      <c r="AB188" s="217"/>
      <c r="AC188" s="217"/>
      <c r="AD188" s="217"/>
      <c r="AE188" s="217"/>
      <c r="AF188" s="217"/>
      <c r="AG188" s="217"/>
      <c r="AH188" s="217"/>
      <c r="AI188" s="217"/>
      <c r="AJ188" s="217"/>
      <c r="AK188" s="217"/>
      <c r="AL188" s="49"/>
      <c r="AM188" s="49"/>
      <c r="AN188" s="49"/>
      <c r="AO188" s="49"/>
    </row>
    <row r="189" spans="11:41" ht="13.5" customHeight="1">
      <c r="K189" s="49"/>
      <c r="L189" s="49"/>
      <c r="M189" s="49"/>
      <c r="N189" s="49"/>
      <c r="O189" s="49"/>
      <c r="P189" s="49"/>
      <c r="Q189" s="49"/>
      <c r="S189" s="49"/>
      <c r="U189" s="110"/>
      <c r="V189" s="217"/>
      <c r="W189" s="217"/>
      <c r="X189" s="217"/>
      <c r="Y189" s="217"/>
      <c r="Z189" s="217"/>
      <c r="AA189" s="217"/>
      <c r="AB189" s="217"/>
      <c r="AC189" s="217"/>
      <c r="AD189" s="217"/>
      <c r="AE189" s="217"/>
      <c r="AF189" s="217"/>
      <c r="AG189" s="217"/>
      <c r="AH189" s="217"/>
      <c r="AI189" s="217"/>
      <c r="AJ189" s="217"/>
      <c r="AK189" s="217"/>
      <c r="AL189" s="49"/>
      <c r="AM189" s="49"/>
      <c r="AN189" s="49"/>
      <c r="AO189" s="49"/>
    </row>
    <row r="190" spans="11:41" ht="13.5" customHeight="1">
      <c r="K190" s="49"/>
      <c r="L190" s="49"/>
      <c r="M190" s="49"/>
      <c r="N190" s="49"/>
      <c r="O190" s="49"/>
      <c r="P190" s="49"/>
      <c r="Q190" s="49"/>
      <c r="S190" s="49"/>
      <c r="U190" s="110"/>
      <c r="V190" s="217"/>
      <c r="W190" s="217"/>
      <c r="X190" s="217"/>
      <c r="Y190" s="217"/>
      <c r="Z190" s="217"/>
      <c r="AA190" s="217"/>
      <c r="AB190" s="217"/>
      <c r="AC190" s="217"/>
      <c r="AD190" s="217"/>
      <c r="AE190" s="217"/>
      <c r="AF190" s="217"/>
      <c r="AG190" s="217"/>
      <c r="AH190" s="217"/>
      <c r="AI190" s="217"/>
      <c r="AJ190" s="217"/>
      <c r="AK190" s="217"/>
      <c r="AL190" s="49"/>
      <c r="AM190" s="49"/>
      <c r="AN190" s="49"/>
      <c r="AO190" s="49"/>
    </row>
    <row r="191" spans="11:41" ht="13.5" customHeight="1">
      <c r="K191" s="49"/>
      <c r="L191" s="49"/>
      <c r="M191" s="49"/>
      <c r="N191" s="49"/>
      <c r="O191" s="49"/>
      <c r="P191" s="49"/>
      <c r="Q191" s="49"/>
      <c r="S191" s="49"/>
      <c r="U191" s="110"/>
      <c r="V191" s="217"/>
      <c r="W191" s="217"/>
      <c r="X191" s="217"/>
      <c r="Y191" s="217"/>
      <c r="Z191" s="217"/>
      <c r="AA191" s="217"/>
      <c r="AB191" s="217"/>
      <c r="AC191" s="217"/>
      <c r="AD191" s="217"/>
      <c r="AE191" s="217"/>
      <c r="AF191" s="217"/>
      <c r="AG191" s="217"/>
      <c r="AH191" s="217"/>
      <c r="AI191" s="217"/>
      <c r="AJ191" s="217"/>
      <c r="AK191" s="217"/>
      <c r="AL191" s="49"/>
      <c r="AM191" s="49"/>
      <c r="AN191" s="49"/>
      <c r="AO191" s="49"/>
    </row>
    <row r="192" spans="11:41" ht="13.5" customHeight="1">
      <c r="K192" s="49"/>
      <c r="L192" s="49"/>
      <c r="M192" s="49"/>
      <c r="N192" s="49"/>
      <c r="O192" s="49"/>
      <c r="P192" s="49"/>
      <c r="Q192" s="49"/>
      <c r="S192" s="49"/>
      <c r="U192" s="110"/>
      <c r="V192" s="217"/>
      <c r="W192" s="217"/>
      <c r="X192" s="217"/>
      <c r="Y192" s="217"/>
      <c r="Z192" s="217"/>
      <c r="AA192" s="217"/>
      <c r="AB192" s="217"/>
      <c r="AC192" s="217"/>
      <c r="AD192" s="217"/>
      <c r="AE192" s="217"/>
      <c r="AF192" s="217"/>
      <c r="AG192" s="217"/>
      <c r="AH192" s="217"/>
      <c r="AI192" s="217"/>
      <c r="AJ192" s="217"/>
      <c r="AK192" s="217"/>
      <c r="AL192" s="49"/>
      <c r="AM192" s="49"/>
      <c r="AN192" s="49"/>
      <c r="AO192" s="49"/>
    </row>
    <row r="193" spans="11:41" ht="13.5" customHeight="1">
      <c r="K193" s="49"/>
      <c r="L193" s="49"/>
      <c r="M193" s="49"/>
      <c r="N193" s="49"/>
      <c r="O193" s="49"/>
      <c r="P193" s="49"/>
      <c r="Q193" s="49"/>
      <c r="S193" s="49"/>
      <c r="U193" s="110"/>
      <c r="V193" s="217"/>
      <c r="W193" s="217"/>
      <c r="X193" s="217"/>
      <c r="Y193" s="217"/>
      <c r="Z193" s="217"/>
      <c r="AA193" s="217"/>
      <c r="AB193" s="217"/>
      <c r="AC193" s="217"/>
      <c r="AD193" s="217"/>
      <c r="AE193" s="217"/>
      <c r="AF193" s="217"/>
      <c r="AG193" s="217"/>
      <c r="AH193" s="217"/>
      <c r="AI193" s="217"/>
      <c r="AJ193" s="217"/>
      <c r="AK193" s="217"/>
      <c r="AL193" s="49"/>
      <c r="AM193" s="49"/>
      <c r="AN193" s="49"/>
      <c r="AO193" s="49"/>
    </row>
    <row r="194" spans="11:41" ht="13.5" customHeight="1">
      <c r="K194" s="49"/>
      <c r="L194" s="49"/>
      <c r="M194" s="49"/>
      <c r="N194" s="49"/>
      <c r="O194" s="49"/>
      <c r="P194" s="49"/>
      <c r="Q194" s="49"/>
      <c r="S194" s="49"/>
      <c r="U194" s="110"/>
      <c r="V194" s="217"/>
      <c r="W194" s="217"/>
      <c r="X194" s="217"/>
      <c r="Y194" s="217"/>
      <c r="Z194" s="217"/>
      <c r="AA194" s="217"/>
      <c r="AB194" s="217"/>
      <c r="AC194" s="217"/>
      <c r="AD194" s="217"/>
      <c r="AE194" s="217"/>
      <c r="AF194" s="217"/>
      <c r="AG194" s="217"/>
      <c r="AH194" s="217"/>
      <c r="AI194" s="217"/>
      <c r="AJ194" s="217"/>
      <c r="AK194" s="217"/>
      <c r="AL194" s="49"/>
      <c r="AM194" s="49"/>
      <c r="AN194" s="49"/>
      <c r="AO194" s="49"/>
    </row>
    <row r="195" spans="11:41" ht="13.5" customHeight="1">
      <c r="K195" s="49"/>
      <c r="L195" s="49"/>
      <c r="M195" s="49"/>
      <c r="N195" s="49"/>
      <c r="O195" s="49"/>
      <c r="P195" s="49"/>
      <c r="Q195" s="49"/>
      <c r="S195" s="49"/>
      <c r="U195" s="110"/>
      <c r="V195" s="217"/>
      <c r="W195" s="217"/>
      <c r="X195" s="217"/>
      <c r="Y195" s="217"/>
      <c r="Z195" s="217"/>
      <c r="AA195" s="217"/>
      <c r="AB195" s="217"/>
      <c r="AC195" s="217"/>
      <c r="AD195" s="217"/>
      <c r="AE195" s="217"/>
      <c r="AF195" s="217"/>
      <c r="AG195" s="217"/>
      <c r="AH195" s="217"/>
      <c r="AI195" s="217"/>
      <c r="AJ195" s="217"/>
      <c r="AK195" s="217"/>
      <c r="AL195" s="49"/>
      <c r="AM195" s="49"/>
      <c r="AN195" s="49"/>
      <c r="AO195" s="49"/>
    </row>
    <row r="196" spans="11:41" ht="13.5" customHeight="1">
      <c r="K196" s="49"/>
      <c r="L196" s="49"/>
      <c r="M196" s="49"/>
      <c r="N196" s="49"/>
      <c r="O196" s="49"/>
      <c r="P196" s="49"/>
      <c r="Q196" s="49"/>
      <c r="S196" s="49"/>
      <c r="U196" s="110"/>
      <c r="V196" s="217"/>
      <c r="W196" s="217"/>
      <c r="X196" s="217"/>
      <c r="Y196" s="217"/>
      <c r="Z196" s="217"/>
      <c r="AA196" s="217"/>
      <c r="AB196" s="217"/>
      <c r="AC196" s="217"/>
      <c r="AD196" s="217"/>
      <c r="AE196" s="217"/>
      <c r="AF196" s="217"/>
      <c r="AG196" s="217"/>
      <c r="AH196" s="217"/>
      <c r="AI196" s="217"/>
      <c r="AJ196" s="217"/>
      <c r="AK196" s="217"/>
      <c r="AL196" s="49"/>
      <c r="AM196" s="49"/>
      <c r="AN196" s="49"/>
      <c r="AO196" s="49"/>
    </row>
    <row r="197" spans="11:41" ht="13.5" customHeight="1">
      <c r="K197" s="49"/>
      <c r="L197" s="49"/>
      <c r="M197" s="49"/>
      <c r="N197" s="49"/>
      <c r="O197" s="49"/>
      <c r="P197" s="49"/>
      <c r="Q197" s="49"/>
      <c r="S197" s="49"/>
      <c r="U197" s="110"/>
      <c r="V197" s="217"/>
      <c r="W197" s="217"/>
      <c r="X197" s="217"/>
      <c r="Y197" s="217"/>
      <c r="Z197" s="217"/>
      <c r="AA197" s="217"/>
      <c r="AB197" s="217"/>
      <c r="AC197" s="217"/>
      <c r="AD197" s="217"/>
      <c r="AE197" s="217"/>
      <c r="AF197" s="217"/>
      <c r="AG197" s="217"/>
      <c r="AH197" s="217"/>
      <c r="AI197" s="217"/>
      <c r="AJ197" s="217"/>
      <c r="AK197" s="217"/>
      <c r="AL197" s="49"/>
      <c r="AM197" s="49"/>
      <c r="AN197" s="49"/>
      <c r="AO197" s="49"/>
    </row>
    <row r="198" spans="11:41" ht="13.5" customHeight="1">
      <c r="K198" s="49"/>
      <c r="L198" s="49"/>
      <c r="M198" s="49"/>
      <c r="N198" s="49"/>
      <c r="O198" s="49"/>
      <c r="P198" s="49"/>
      <c r="Q198" s="49"/>
      <c r="S198" s="49"/>
      <c r="U198" s="110"/>
      <c r="V198" s="217"/>
      <c r="W198" s="217"/>
      <c r="X198" s="217"/>
      <c r="Y198" s="217"/>
      <c r="Z198" s="217"/>
      <c r="AA198" s="217"/>
      <c r="AB198" s="217"/>
      <c r="AC198" s="217"/>
      <c r="AD198" s="217"/>
      <c r="AE198" s="217"/>
      <c r="AF198" s="217"/>
      <c r="AG198" s="217"/>
      <c r="AH198" s="217"/>
      <c r="AI198" s="217"/>
      <c r="AJ198" s="217"/>
      <c r="AK198" s="217"/>
      <c r="AL198" s="49"/>
      <c r="AM198" s="49"/>
      <c r="AN198" s="49"/>
      <c r="AO198" s="49"/>
    </row>
    <row r="199" spans="11:41" ht="13.5" customHeight="1">
      <c r="K199" s="49"/>
      <c r="L199" s="49"/>
      <c r="M199" s="49"/>
      <c r="N199" s="49"/>
      <c r="O199" s="49"/>
      <c r="P199" s="49"/>
      <c r="Q199" s="49"/>
      <c r="S199" s="49"/>
      <c r="U199" s="110"/>
      <c r="V199" s="217"/>
      <c r="W199" s="217"/>
      <c r="X199" s="217"/>
      <c r="Y199" s="217"/>
      <c r="Z199" s="217"/>
      <c r="AA199" s="217"/>
      <c r="AB199" s="217"/>
      <c r="AC199" s="217"/>
      <c r="AD199" s="217"/>
      <c r="AE199" s="217"/>
      <c r="AF199" s="217"/>
      <c r="AG199" s="217"/>
      <c r="AH199" s="217"/>
      <c r="AI199" s="217"/>
      <c r="AJ199" s="217"/>
      <c r="AK199" s="217"/>
      <c r="AL199" s="49"/>
      <c r="AM199" s="49"/>
      <c r="AN199" s="49"/>
      <c r="AO199" s="49"/>
    </row>
    <row r="200" spans="11:41" ht="13.5" customHeight="1">
      <c r="K200" s="49"/>
      <c r="L200" s="49"/>
      <c r="M200" s="49"/>
      <c r="N200" s="49"/>
      <c r="O200" s="49"/>
      <c r="P200" s="49"/>
      <c r="Q200" s="49"/>
      <c r="S200" s="49"/>
      <c r="U200" s="110"/>
      <c r="V200" s="217"/>
      <c r="W200" s="217"/>
      <c r="X200" s="217"/>
      <c r="Y200" s="217"/>
      <c r="Z200" s="217"/>
      <c r="AA200" s="217"/>
      <c r="AB200" s="217"/>
      <c r="AC200" s="217"/>
      <c r="AD200" s="217"/>
      <c r="AE200" s="217"/>
      <c r="AF200" s="217"/>
      <c r="AG200" s="217"/>
      <c r="AH200" s="217"/>
      <c r="AI200" s="217"/>
      <c r="AJ200" s="217"/>
      <c r="AK200" s="217"/>
      <c r="AL200" s="49"/>
      <c r="AM200" s="49"/>
      <c r="AN200" s="49"/>
      <c r="AO200" s="49"/>
    </row>
    <row r="201" spans="11:41" ht="13.5" customHeight="1">
      <c r="K201" s="49"/>
      <c r="L201" s="49"/>
      <c r="M201" s="49"/>
      <c r="N201" s="49"/>
      <c r="O201" s="49"/>
      <c r="P201" s="49"/>
      <c r="Q201" s="49"/>
      <c r="S201" s="49"/>
      <c r="U201" s="110"/>
      <c r="V201" s="217"/>
      <c r="W201" s="217"/>
      <c r="X201" s="217"/>
      <c r="Y201" s="217"/>
      <c r="Z201" s="217"/>
      <c r="AA201" s="217"/>
      <c r="AB201" s="217"/>
      <c r="AC201" s="217"/>
      <c r="AD201" s="217"/>
      <c r="AE201" s="217"/>
      <c r="AF201" s="217"/>
      <c r="AG201" s="217"/>
      <c r="AH201" s="217"/>
      <c r="AI201" s="217"/>
      <c r="AJ201" s="217"/>
      <c r="AK201" s="217"/>
      <c r="AL201" s="49"/>
      <c r="AM201" s="49"/>
      <c r="AN201" s="49"/>
      <c r="AO201" s="49"/>
    </row>
    <row r="202" spans="11:41" ht="13.5" customHeight="1">
      <c r="K202" s="49"/>
      <c r="L202" s="49"/>
      <c r="M202" s="49"/>
      <c r="N202" s="49"/>
      <c r="O202" s="49"/>
      <c r="P202" s="49"/>
      <c r="Q202" s="49"/>
      <c r="S202" s="49"/>
      <c r="U202" s="110"/>
      <c r="V202" s="217"/>
      <c r="W202" s="217"/>
      <c r="X202" s="217"/>
      <c r="Y202" s="217"/>
      <c r="Z202" s="217"/>
      <c r="AA202" s="217"/>
      <c r="AB202" s="217"/>
      <c r="AC202" s="217"/>
      <c r="AD202" s="217"/>
      <c r="AE202" s="217"/>
      <c r="AF202" s="217"/>
      <c r="AG202" s="217"/>
      <c r="AH202" s="217"/>
      <c r="AI202" s="217"/>
      <c r="AJ202" s="217"/>
      <c r="AK202" s="217"/>
      <c r="AL202" s="49"/>
      <c r="AM202" s="49"/>
      <c r="AN202" s="49"/>
      <c r="AO202" s="49"/>
    </row>
    <row r="203" spans="11:41" ht="13.5" customHeight="1">
      <c r="K203" s="49"/>
      <c r="L203" s="49"/>
      <c r="M203" s="49"/>
      <c r="N203" s="49"/>
      <c r="O203" s="49"/>
      <c r="P203" s="49"/>
      <c r="Q203" s="49"/>
      <c r="S203" s="49"/>
      <c r="U203" s="110"/>
      <c r="V203" s="217"/>
      <c r="W203" s="217"/>
      <c r="X203" s="217"/>
      <c r="Y203" s="217"/>
      <c r="Z203" s="217"/>
      <c r="AA203" s="217"/>
      <c r="AB203" s="217"/>
      <c r="AC203" s="217"/>
      <c r="AD203" s="217"/>
      <c r="AE203" s="217"/>
      <c r="AF203" s="217"/>
      <c r="AG203" s="217"/>
      <c r="AH203" s="217"/>
      <c r="AI203" s="217"/>
      <c r="AJ203" s="217"/>
      <c r="AK203" s="217"/>
      <c r="AL203" s="49"/>
      <c r="AM203" s="49"/>
      <c r="AN203" s="49"/>
      <c r="AO203" s="49"/>
    </row>
    <row r="204" spans="11:41" ht="13.5" customHeight="1">
      <c r="K204" s="49"/>
      <c r="L204" s="49"/>
      <c r="M204" s="49"/>
      <c r="N204" s="49"/>
      <c r="O204" s="49"/>
      <c r="P204" s="49"/>
      <c r="Q204" s="49"/>
      <c r="S204" s="49"/>
      <c r="U204" s="110"/>
      <c r="V204" s="217"/>
      <c r="W204" s="217"/>
      <c r="X204" s="217"/>
      <c r="Y204" s="217"/>
      <c r="Z204" s="217"/>
      <c r="AA204" s="217"/>
      <c r="AB204" s="217"/>
      <c r="AC204" s="217"/>
      <c r="AD204" s="217"/>
      <c r="AE204" s="217"/>
      <c r="AF204" s="217"/>
      <c r="AG204" s="217"/>
      <c r="AH204" s="217"/>
      <c r="AI204" s="217"/>
      <c r="AJ204" s="217"/>
      <c r="AK204" s="217"/>
      <c r="AL204" s="49"/>
      <c r="AM204" s="49"/>
      <c r="AN204" s="49"/>
      <c r="AO204" s="49"/>
    </row>
    <row r="205" spans="11:41" ht="13.5" customHeight="1">
      <c r="K205" s="49"/>
      <c r="L205" s="49"/>
      <c r="M205" s="49"/>
      <c r="N205" s="49"/>
      <c r="O205" s="49"/>
      <c r="P205" s="49"/>
      <c r="Q205" s="49"/>
      <c r="S205" s="49"/>
      <c r="U205" s="110"/>
      <c r="V205" s="217"/>
      <c r="W205" s="217"/>
      <c r="X205" s="217"/>
      <c r="Y205" s="217"/>
      <c r="Z205" s="217"/>
      <c r="AA205" s="217"/>
      <c r="AB205" s="217"/>
      <c r="AC205" s="217"/>
      <c r="AD205" s="217"/>
      <c r="AE205" s="217"/>
      <c r="AF205" s="217"/>
      <c r="AG205" s="217"/>
      <c r="AH205" s="217"/>
      <c r="AI205" s="217"/>
      <c r="AJ205" s="217"/>
      <c r="AK205" s="217"/>
      <c r="AL205" s="49"/>
      <c r="AM205" s="49"/>
      <c r="AN205" s="49"/>
      <c r="AO205" s="49"/>
    </row>
    <row r="206" spans="11:41" ht="13.5" customHeight="1">
      <c r="K206" s="49"/>
      <c r="L206" s="49"/>
      <c r="M206" s="49"/>
      <c r="N206" s="49"/>
      <c r="O206" s="49"/>
      <c r="P206" s="49"/>
      <c r="Q206" s="49"/>
      <c r="S206" s="49"/>
      <c r="U206" s="110"/>
      <c r="V206" s="217"/>
      <c r="W206" s="217"/>
      <c r="X206" s="217"/>
      <c r="Y206" s="217"/>
      <c r="Z206" s="217"/>
      <c r="AA206" s="217"/>
      <c r="AB206" s="217"/>
      <c r="AC206" s="217"/>
      <c r="AD206" s="217"/>
      <c r="AE206" s="217"/>
      <c r="AF206" s="217"/>
      <c r="AG206" s="217"/>
      <c r="AH206" s="217"/>
      <c r="AI206" s="217"/>
      <c r="AJ206" s="217"/>
      <c r="AK206" s="217"/>
      <c r="AL206" s="49"/>
      <c r="AM206" s="49"/>
      <c r="AN206" s="49"/>
      <c r="AO206" s="49"/>
    </row>
    <row r="207" spans="11:41" ht="13.5" customHeight="1">
      <c r="K207" s="49"/>
      <c r="L207" s="49"/>
      <c r="M207" s="49"/>
      <c r="N207" s="49"/>
      <c r="O207" s="49"/>
      <c r="P207" s="49"/>
      <c r="Q207" s="49"/>
      <c r="S207" s="49"/>
      <c r="U207" s="110"/>
      <c r="V207" s="217"/>
      <c r="W207" s="217"/>
      <c r="X207" s="217"/>
      <c r="Y207" s="217"/>
      <c r="Z207" s="217"/>
      <c r="AA207" s="217"/>
      <c r="AB207" s="217"/>
      <c r="AC207" s="217"/>
      <c r="AD207" s="217"/>
      <c r="AE207" s="217"/>
      <c r="AF207" s="217"/>
      <c r="AG207" s="217"/>
      <c r="AH207" s="217"/>
      <c r="AI207" s="217"/>
      <c r="AJ207" s="217"/>
      <c r="AK207" s="217"/>
      <c r="AL207" s="49"/>
      <c r="AM207" s="49"/>
      <c r="AN207" s="49"/>
      <c r="AO207" s="49"/>
    </row>
    <row r="208" spans="11:41" ht="13.5" customHeight="1">
      <c r="K208" s="49"/>
      <c r="L208" s="49"/>
      <c r="M208" s="49"/>
      <c r="N208" s="49"/>
      <c r="O208" s="49"/>
      <c r="P208" s="49"/>
      <c r="Q208" s="49"/>
      <c r="S208" s="49"/>
      <c r="U208" s="110"/>
      <c r="V208" s="217"/>
      <c r="W208" s="217"/>
      <c r="X208" s="217"/>
      <c r="Y208" s="217"/>
      <c r="Z208" s="217"/>
      <c r="AA208" s="217"/>
      <c r="AB208" s="217"/>
      <c r="AC208" s="217"/>
      <c r="AD208" s="217"/>
      <c r="AE208" s="217"/>
      <c r="AF208" s="217"/>
      <c r="AG208" s="217"/>
      <c r="AH208" s="217"/>
      <c r="AI208" s="217"/>
      <c r="AJ208" s="217"/>
      <c r="AK208" s="217"/>
      <c r="AL208" s="49"/>
      <c r="AM208" s="49"/>
      <c r="AN208" s="49"/>
      <c r="AO208" s="49"/>
    </row>
    <row r="209" spans="11:41" ht="13.5" customHeight="1">
      <c r="K209" s="49"/>
      <c r="L209" s="49"/>
      <c r="M209" s="49"/>
      <c r="N209" s="49"/>
      <c r="O209" s="49"/>
      <c r="P209" s="49"/>
      <c r="Q209" s="49"/>
      <c r="S209" s="49"/>
      <c r="U209" s="110"/>
      <c r="V209" s="217"/>
      <c r="W209" s="217"/>
      <c r="X209" s="217"/>
      <c r="Y209" s="217"/>
      <c r="Z209" s="217"/>
      <c r="AA209" s="217"/>
      <c r="AB209" s="217"/>
      <c r="AC209" s="217"/>
      <c r="AD209" s="217"/>
      <c r="AE209" s="217"/>
      <c r="AF209" s="217"/>
      <c r="AG209" s="217"/>
      <c r="AH209" s="217"/>
      <c r="AI209" s="217"/>
      <c r="AJ209" s="217"/>
      <c r="AK209" s="217"/>
      <c r="AL209" s="49"/>
      <c r="AM209" s="49"/>
      <c r="AN209" s="49"/>
      <c r="AO209" s="49"/>
    </row>
    <row r="210" spans="11:41" ht="13.5" customHeight="1">
      <c r="K210" s="49"/>
      <c r="L210" s="49"/>
      <c r="M210" s="49"/>
      <c r="N210" s="49"/>
      <c r="O210" s="49"/>
      <c r="P210" s="49"/>
      <c r="Q210" s="49"/>
      <c r="S210" s="49"/>
      <c r="U210" s="110"/>
      <c r="V210" s="217"/>
      <c r="W210" s="217"/>
      <c r="X210" s="217"/>
      <c r="Y210" s="217"/>
      <c r="Z210" s="217"/>
      <c r="AA210" s="217"/>
      <c r="AB210" s="217"/>
      <c r="AC210" s="217"/>
      <c r="AD210" s="217"/>
      <c r="AE210" s="217"/>
      <c r="AF210" s="217"/>
      <c r="AG210" s="217"/>
      <c r="AH210" s="217"/>
      <c r="AI210" s="217"/>
      <c r="AJ210" s="217"/>
      <c r="AK210" s="217"/>
      <c r="AL210" s="49"/>
      <c r="AM210" s="49"/>
      <c r="AN210" s="49"/>
      <c r="AO210" s="49"/>
    </row>
    <row r="211" spans="11:41" ht="13.5" customHeight="1">
      <c r="K211" s="49"/>
      <c r="L211" s="49"/>
      <c r="M211" s="49"/>
      <c r="N211" s="49"/>
      <c r="O211" s="49"/>
      <c r="P211" s="49"/>
      <c r="Q211" s="49"/>
      <c r="S211" s="49"/>
      <c r="U211" s="110"/>
      <c r="V211" s="217"/>
      <c r="W211" s="217"/>
      <c r="X211" s="217"/>
      <c r="Y211" s="217"/>
      <c r="Z211" s="217"/>
      <c r="AA211" s="217"/>
      <c r="AB211" s="217"/>
      <c r="AC211" s="217"/>
      <c r="AD211" s="217"/>
      <c r="AE211" s="217"/>
      <c r="AF211" s="217"/>
      <c r="AG211" s="217"/>
      <c r="AH211" s="217"/>
      <c r="AI211" s="217"/>
      <c r="AJ211" s="217"/>
      <c r="AK211" s="217"/>
      <c r="AL211" s="49"/>
      <c r="AM211" s="49"/>
      <c r="AN211" s="49"/>
      <c r="AO211" s="49"/>
    </row>
    <row r="212" spans="11:41" ht="13.5" customHeight="1">
      <c r="K212" s="49"/>
      <c r="L212" s="49"/>
      <c r="M212" s="49"/>
      <c r="N212" s="49"/>
      <c r="O212" s="49"/>
      <c r="P212" s="49"/>
      <c r="Q212" s="49"/>
      <c r="S212" s="49"/>
      <c r="U212" s="110"/>
      <c r="V212" s="217"/>
      <c r="W212" s="217"/>
      <c r="X212" s="217"/>
      <c r="Y212" s="217"/>
      <c r="Z212" s="217"/>
      <c r="AA212" s="217"/>
      <c r="AB212" s="217"/>
      <c r="AC212" s="217"/>
      <c r="AD212" s="217"/>
      <c r="AE212" s="217"/>
      <c r="AF212" s="217"/>
      <c r="AG212" s="217"/>
      <c r="AH212" s="217"/>
      <c r="AI212" s="217"/>
      <c r="AJ212" s="217"/>
      <c r="AK212" s="217"/>
      <c r="AL212" s="49"/>
      <c r="AM212" s="49"/>
      <c r="AN212" s="49"/>
      <c r="AO212" s="49"/>
    </row>
    <row r="213" spans="11:41" ht="13.5" customHeight="1">
      <c r="K213" s="49"/>
      <c r="L213" s="49"/>
      <c r="M213" s="49"/>
      <c r="N213" s="49"/>
      <c r="O213" s="49"/>
      <c r="P213" s="49"/>
      <c r="Q213" s="49"/>
      <c r="S213" s="49"/>
      <c r="U213" s="110"/>
      <c r="V213" s="217"/>
      <c r="W213" s="217"/>
      <c r="X213" s="217"/>
      <c r="Y213" s="217"/>
      <c r="Z213" s="217"/>
      <c r="AA213" s="217"/>
      <c r="AB213" s="217"/>
      <c r="AC213" s="217"/>
      <c r="AD213" s="217"/>
      <c r="AE213" s="217"/>
      <c r="AF213" s="217"/>
      <c r="AG213" s="217"/>
      <c r="AH213" s="217"/>
      <c r="AI213" s="217"/>
      <c r="AJ213" s="217"/>
      <c r="AK213" s="217"/>
      <c r="AL213" s="49"/>
      <c r="AM213" s="49"/>
      <c r="AN213" s="49"/>
      <c r="AO213" s="49"/>
    </row>
    <row r="214" spans="11:41" ht="13.5" customHeight="1">
      <c r="K214" s="49"/>
      <c r="L214" s="49"/>
      <c r="M214" s="49"/>
      <c r="N214" s="49"/>
      <c r="O214" s="49"/>
      <c r="P214" s="49"/>
      <c r="Q214" s="49"/>
      <c r="S214" s="49"/>
      <c r="U214" s="110"/>
      <c r="V214" s="217"/>
      <c r="W214" s="217"/>
      <c r="X214" s="217"/>
      <c r="Y214" s="217"/>
      <c r="Z214" s="217"/>
      <c r="AA214" s="217"/>
      <c r="AB214" s="217"/>
      <c r="AC214" s="217"/>
      <c r="AD214" s="217"/>
      <c r="AE214" s="217"/>
      <c r="AF214" s="217"/>
      <c r="AG214" s="217"/>
      <c r="AH214" s="217"/>
      <c r="AI214" s="217"/>
      <c r="AJ214" s="217"/>
      <c r="AK214" s="217"/>
      <c r="AL214" s="49"/>
      <c r="AM214" s="49"/>
      <c r="AN214" s="49"/>
      <c r="AO214" s="49"/>
    </row>
    <row r="215" spans="11:41" ht="13.5" customHeight="1">
      <c r="K215" s="49"/>
      <c r="L215" s="49"/>
      <c r="M215" s="49"/>
      <c r="N215" s="49"/>
      <c r="O215" s="49"/>
      <c r="P215" s="49"/>
      <c r="Q215" s="49"/>
      <c r="S215" s="49"/>
      <c r="U215" s="110"/>
      <c r="V215" s="217"/>
      <c r="W215" s="217"/>
      <c r="X215" s="217"/>
      <c r="Y215" s="217"/>
      <c r="Z215" s="217"/>
      <c r="AA215" s="217"/>
      <c r="AB215" s="217"/>
      <c r="AC215" s="217"/>
      <c r="AD215" s="217"/>
      <c r="AE215" s="217"/>
      <c r="AF215" s="217"/>
      <c r="AG215" s="217"/>
      <c r="AH215" s="217"/>
      <c r="AI215" s="217"/>
      <c r="AJ215" s="217"/>
      <c r="AK215" s="217"/>
      <c r="AL215" s="49"/>
      <c r="AM215" s="49"/>
      <c r="AN215" s="49"/>
      <c r="AO215" s="49"/>
    </row>
    <row r="216" spans="11:41" ht="13.5" customHeight="1">
      <c r="K216" s="49"/>
      <c r="L216" s="49"/>
      <c r="M216" s="49"/>
      <c r="N216" s="49"/>
      <c r="O216" s="49"/>
      <c r="P216" s="49"/>
      <c r="Q216" s="49"/>
      <c r="S216" s="49"/>
      <c r="U216" s="110"/>
      <c r="V216" s="217"/>
      <c r="W216" s="217"/>
      <c r="X216" s="217"/>
      <c r="Y216" s="217"/>
      <c r="Z216" s="217"/>
      <c r="AA216" s="217"/>
      <c r="AB216" s="217"/>
      <c r="AC216" s="217"/>
      <c r="AD216" s="217"/>
      <c r="AE216" s="217"/>
      <c r="AF216" s="217"/>
      <c r="AG216" s="217"/>
      <c r="AH216" s="217"/>
      <c r="AI216" s="217"/>
      <c r="AJ216" s="217"/>
      <c r="AK216" s="217"/>
      <c r="AL216" s="49"/>
      <c r="AM216" s="49"/>
      <c r="AN216" s="49"/>
      <c r="AO216" s="49"/>
    </row>
    <row r="217" spans="11:41" ht="13.5" customHeight="1">
      <c r="K217" s="49"/>
      <c r="L217" s="49"/>
      <c r="M217" s="49"/>
      <c r="N217" s="49"/>
      <c r="O217" s="49"/>
      <c r="P217" s="49"/>
      <c r="Q217" s="49"/>
      <c r="S217" s="49"/>
      <c r="U217" s="110"/>
      <c r="V217" s="217"/>
      <c r="W217" s="217"/>
      <c r="X217" s="217"/>
      <c r="Y217" s="217"/>
      <c r="Z217" s="217"/>
      <c r="AA217" s="217"/>
      <c r="AB217" s="217"/>
      <c r="AC217" s="217"/>
      <c r="AD217" s="217"/>
      <c r="AE217" s="217"/>
      <c r="AF217" s="217"/>
      <c r="AG217" s="217"/>
      <c r="AH217" s="217"/>
      <c r="AI217" s="217"/>
      <c r="AJ217" s="217"/>
      <c r="AK217" s="217"/>
      <c r="AL217" s="49"/>
      <c r="AM217" s="49"/>
      <c r="AN217" s="49"/>
      <c r="AO217" s="49"/>
    </row>
    <row r="218" spans="11:41" ht="13.5" customHeight="1">
      <c r="K218" s="49"/>
      <c r="L218" s="49"/>
      <c r="M218" s="49"/>
      <c r="N218" s="49"/>
      <c r="O218" s="49"/>
      <c r="P218" s="49"/>
      <c r="Q218" s="49"/>
      <c r="S218" s="49"/>
      <c r="U218" s="110"/>
      <c r="V218" s="217"/>
      <c r="W218" s="217"/>
      <c r="X218" s="217"/>
      <c r="Y218" s="217"/>
      <c r="Z218" s="217"/>
      <c r="AA218" s="217"/>
      <c r="AB218" s="217"/>
      <c r="AC218" s="217"/>
      <c r="AD218" s="217"/>
      <c r="AE218" s="217"/>
      <c r="AF218" s="217"/>
      <c r="AG218" s="217"/>
      <c r="AH218" s="217"/>
      <c r="AI218" s="217"/>
      <c r="AJ218" s="217"/>
      <c r="AK218" s="217"/>
      <c r="AL218" s="49"/>
      <c r="AM218" s="49"/>
      <c r="AN218" s="49"/>
      <c r="AO218" s="49"/>
    </row>
    <row r="219" spans="11:41" ht="13.5" customHeight="1">
      <c r="K219" s="49"/>
      <c r="L219" s="49"/>
      <c r="M219" s="49"/>
      <c r="N219" s="49"/>
      <c r="O219" s="49"/>
      <c r="P219" s="49"/>
      <c r="Q219" s="49"/>
      <c r="S219" s="49"/>
      <c r="U219" s="110"/>
      <c r="V219" s="217"/>
      <c r="W219" s="217"/>
      <c r="X219" s="217"/>
      <c r="Y219" s="217"/>
      <c r="Z219" s="217"/>
      <c r="AA219" s="217"/>
      <c r="AB219" s="217"/>
      <c r="AC219" s="217"/>
      <c r="AD219" s="217"/>
      <c r="AE219" s="217"/>
      <c r="AF219" s="217"/>
      <c r="AG219" s="217"/>
      <c r="AH219" s="217"/>
      <c r="AI219" s="217"/>
      <c r="AJ219" s="217"/>
      <c r="AK219" s="217"/>
      <c r="AL219" s="49"/>
      <c r="AM219" s="49"/>
      <c r="AN219" s="49"/>
      <c r="AO219" s="49"/>
    </row>
    <row r="220" spans="11:41" ht="13.5" customHeight="1">
      <c r="K220" s="49"/>
      <c r="L220" s="49"/>
      <c r="M220" s="49"/>
      <c r="N220" s="49"/>
      <c r="O220" s="49"/>
      <c r="P220" s="49"/>
      <c r="Q220" s="49"/>
      <c r="S220" s="49"/>
      <c r="U220" s="110"/>
      <c r="V220" s="217"/>
      <c r="W220" s="217"/>
      <c r="X220" s="217"/>
      <c r="Y220" s="217"/>
      <c r="Z220" s="217"/>
      <c r="AA220" s="217"/>
      <c r="AB220" s="217"/>
      <c r="AC220" s="217"/>
      <c r="AD220" s="217"/>
      <c r="AE220" s="217"/>
      <c r="AF220" s="217"/>
      <c r="AG220" s="217"/>
      <c r="AH220" s="217"/>
      <c r="AI220" s="217"/>
      <c r="AJ220" s="217"/>
      <c r="AK220" s="217"/>
      <c r="AL220" s="49"/>
      <c r="AM220" s="49"/>
      <c r="AN220" s="49"/>
      <c r="AO220" s="49"/>
    </row>
    <row r="221" spans="11:41" ht="13.5" customHeight="1">
      <c r="K221" s="49"/>
      <c r="L221" s="49"/>
      <c r="M221" s="49"/>
      <c r="N221" s="49"/>
      <c r="O221" s="49"/>
      <c r="P221" s="49"/>
      <c r="Q221" s="49"/>
      <c r="S221" s="49"/>
      <c r="U221" s="110"/>
      <c r="V221" s="217"/>
      <c r="W221" s="217"/>
      <c r="X221" s="217"/>
      <c r="Y221" s="217"/>
      <c r="Z221" s="217"/>
      <c r="AA221" s="217"/>
      <c r="AB221" s="217"/>
      <c r="AC221" s="217"/>
      <c r="AD221" s="217"/>
      <c r="AE221" s="217"/>
      <c r="AF221" s="217"/>
      <c r="AG221" s="217"/>
      <c r="AH221" s="217"/>
      <c r="AI221" s="217"/>
      <c r="AJ221" s="217"/>
      <c r="AK221" s="217"/>
      <c r="AL221" s="49"/>
      <c r="AM221" s="49"/>
      <c r="AN221" s="49"/>
      <c r="AO221" s="49"/>
    </row>
    <row r="222" spans="11:41" ht="13.5" customHeight="1">
      <c r="K222" s="49"/>
      <c r="L222" s="49"/>
      <c r="M222" s="49"/>
      <c r="N222" s="49"/>
      <c r="O222" s="49"/>
      <c r="P222" s="49"/>
      <c r="Q222" s="49"/>
      <c r="S222" s="49"/>
      <c r="U222" s="110"/>
      <c r="V222" s="217"/>
      <c r="W222" s="217"/>
      <c r="X222" s="217"/>
      <c r="Y222" s="217"/>
      <c r="Z222" s="217"/>
      <c r="AA222" s="217"/>
      <c r="AB222" s="217"/>
      <c r="AC222" s="217"/>
      <c r="AD222" s="217"/>
      <c r="AE222" s="217"/>
      <c r="AF222" s="217"/>
      <c r="AG222" s="217"/>
      <c r="AH222" s="217"/>
      <c r="AI222" s="217"/>
      <c r="AJ222" s="217"/>
      <c r="AK222" s="217"/>
      <c r="AL222" s="49"/>
      <c r="AM222" s="49"/>
      <c r="AN222" s="49"/>
      <c r="AO222" s="49"/>
    </row>
    <row r="223" spans="11:41" ht="13.5" customHeight="1">
      <c r="K223" s="49"/>
      <c r="L223" s="49"/>
      <c r="M223" s="49"/>
      <c r="N223" s="49"/>
      <c r="O223" s="49"/>
      <c r="P223" s="49"/>
      <c r="Q223" s="49"/>
      <c r="S223" s="49"/>
      <c r="U223" s="110"/>
      <c r="V223" s="217"/>
      <c r="W223" s="217"/>
      <c r="X223" s="217"/>
      <c r="Y223" s="217"/>
      <c r="Z223" s="217"/>
      <c r="AA223" s="217"/>
      <c r="AB223" s="217"/>
      <c r="AC223" s="217"/>
      <c r="AD223" s="217"/>
      <c r="AE223" s="217"/>
      <c r="AF223" s="217"/>
      <c r="AG223" s="217"/>
      <c r="AH223" s="217"/>
      <c r="AI223" s="217"/>
      <c r="AJ223" s="217"/>
      <c r="AK223" s="217"/>
      <c r="AL223" s="49"/>
      <c r="AM223" s="49"/>
      <c r="AN223" s="49"/>
      <c r="AO223" s="49"/>
    </row>
    <row r="224" spans="11:41" ht="13.5" customHeight="1">
      <c r="K224" s="49"/>
      <c r="L224" s="49"/>
      <c r="M224" s="49"/>
      <c r="N224" s="49"/>
      <c r="O224" s="49"/>
      <c r="P224" s="49"/>
      <c r="Q224" s="49"/>
      <c r="S224" s="49"/>
      <c r="U224" s="110"/>
      <c r="V224" s="217"/>
      <c r="W224" s="217"/>
      <c r="X224" s="217"/>
      <c r="Y224" s="217"/>
      <c r="Z224" s="217"/>
      <c r="AA224" s="217"/>
      <c r="AB224" s="217"/>
      <c r="AC224" s="217"/>
      <c r="AD224" s="217"/>
      <c r="AE224" s="217"/>
      <c r="AF224" s="217"/>
      <c r="AG224" s="217"/>
      <c r="AH224" s="217"/>
      <c r="AI224" s="217"/>
      <c r="AJ224" s="217"/>
      <c r="AK224" s="217"/>
      <c r="AL224" s="49"/>
      <c r="AM224" s="49"/>
      <c r="AN224" s="49"/>
      <c r="AO224" s="49"/>
    </row>
    <row r="225" spans="11:41" ht="13.5" customHeight="1">
      <c r="K225" s="49"/>
      <c r="L225" s="49"/>
      <c r="M225" s="49"/>
      <c r="N225" s="49"/>
      <c r="O225" s="49"/>
      <c r="P225" s="49"/>
      <c r="Q225" s="49"/>
      <c r="S225" s="49"/>
      <c r="U225" s="110"/>
      <c r="V225" s="217"/>
      <c r="W225" s="217"/>
      <c r="X225" s="217"/>
      <c r="Y225" s="217"/>
      <c r="Z225" s="217"/>
      <c r="AA225" s="217"/>
      <c r="AB225" s="217"/>
      <c r="AC225" s="217"/>
      <c r="AD225" s="217"/>
      <c r="AE225" s="217"/>
      <c r="AF225" s="217"/>
      <c r="AG225" s="217"/>
      <c r="AH225" s="217"/>
      <c r="AI225" s="217"/>
      <c r="AJ225" s="217"/>
      <c r="AK225" s="217"/>
      <c r="AL225" s="49"/>
      <c r="AM225" s="49"/>
      <c r="AN225" s="49"/>
      <c r="AO225" s="49"/>
    </row>
    <row r="226" spans="11:41" ht="13.5" customHeight="1">
      <c r="K226" s="49"/>
      <c r="L226" s="49"/>
      <c r="M226" s="49"/>
      <c r="N226" s="49"/>
      <c r="O226" s="49"/>
      <c r="P226" s="49"/>
      <c r="Q226" s="49"/>
      <c r="S226" s="49"/>
      <c r="U226" s="110"/>
      <c r="V226" s="217"/>
      <c r="W226" s="217"/>
      <c r="X226" s="217"/>
      <c r="Y226" s="217"/>
      <c r="Z226" s="217"/>
      <c r="AA226" s="217"/>
      <c r="AB226" s="217"/>
      <c r="AC226" s="217"/>
      <c r="AD226" s="217"/>
      <c r="AE226" s="217"/>
      <c r="AF226" s="217"/>
      <c r="AG226" s="217"/>
      <c r="AH226" s="217"/>
      <c r="AI226" s="217"/>
      <c r="AJ226" s="217"/>
      <c r="AK226" s="217"/>
      <c r="AL226" s="49"/>
      <c r="AM226" s="49"/>
      <c r="AN226" s="49"/>
      <c r="AO226" s="49"/>
    </row>
    <row r="227" spans="11:41" ht="13.5" customHeight="1">
      <c r="K227" s="49"/>
      <c r="L227" s="49"/>
      <c r="M227" s="49"/>
      <c r="N227" s="49"/>
      <c r="O227" s="49"/>
      <c r="P227" s="49"/>
      <c r="Q227" s="49"/>
      <c r="S227" s="49"/>
      <c r="U227" s="110"/>
      <c r="V227" s="217"/>
      <c r="W227" s="217"/>
      <c r="X227" s="217"/>
      <c r="Y227" s="217"/>
      <c r="Z227" s="217"/>
      <c r="AA227" s="217"/>
      <c r="AB227" s="217"/>
      <c r="AC227" s="217"/>
      <c r="AD227" s="217"/>
      <c r="AE227" s="217"/>
      <c r="AF227" s="217"/>
      <c r="AG227" s="217"/>
      <c r="AH227" s="217"/>
      <c r="AI227" s="217"/>
      <c r="AJ227" s="217"/>
      <c r="AK227" s="217"/>
      <c r="AL227" s="49"/>
      <c r="AM227" s="49"/>
      <c r="AN227" s="49"/>
      <c r="AO227" s="49"/>
    </row>
    <row r="228" spans="11:41" ht="13.5" customHeight="1">
      <c r="K228" s="49"/>
      <c r="L228" s="49"/>
      <c r="M228" s="49"/>
      <c r="N228" s="49"/>
      <c r="O228" s="49"/>
      <c r="P228" s="49"/>
      <c r="Q228" s="49"/>
      <c r="S228" s="49"/>
      <c r="U228" s="110"/>
      <c r="V228" s="217"/>
      <c r="W228" s="217"/>
      <c r="X228" s="217"/>
      <c r="Y228" s="217"/>
      <c r="Z228" s="217"/>
      <c r="AA228" s="217"/>
      <c r="AB228" s="217"/>
      <c r="AC228" s="217"/>
      <c r="AD228" s="217"/>
      <c r="AE228" s="217"/>
      <c r="AF228" s="217"/>
      <c r="AG228" s="217"/>
      <c r="AH228" s="217"/>
      <c r="AI228" s="217"/>
      <c r="AJ228" s="217"/>
      <c r="AK228" s="217"/>
      <c r="AL228" s="49"/>
      <c r="AM228" s="49"/>
      <c r="AN228" s="49"/>
      <c r="AO228" s="49"/>
    </row>
    <row r="229" spans="11:41" ht="13.5" customHeight="1">
      <c r="K229" s="49"/>
      <c r="L229" s="49"/>
      <c r="M229" s="49"/>
      <c r="N229" s="49"/>
      <c r="O229" s="49"/>
      <c r="P229" s="49"/>
      <c r="Q229" s="49"/>
      <c r="S229" s="49"/>
      <c r="U229" s="110"/>
      <c r="V229" s="217"/>
      <c r="W229" s="217"/>
      <c r="X229" s="217"/>
      <c r="Y229" s="217"/>
      <c r="Z229" s="217"/>
      <c r="AA229" s="217"/>
      <c r="AB229" s="217"/>
      <c r="AC229" s="217"/>
      <c r="AD229" s="217"/>
      <c r="AE229" s="217"/>
      <c r="AF229" s="217"/>
      <c r="AG229" s="217"/>
      <c r="AH229" s="217"/>
      <c r="AI229" s="217"/>
      <c r="AJ229" s="217"/>
      <c r="AK229" s="217"/>
      <c r="AL229" s="49"/>
      <c r="AM229" s="49"/>
      <c r="AN229" s="49"/>
      <c r="AO229" s="49"/>
    </row>
    <row r="230" spans="11:41" ht="13.5" customHeight="1">
      <c r="K230" s="49"/>
      <c r="L230" s="49"/>
      <c r="M230" s="49"/>
      <c r="N230" s="49"/>
      <c r="O230" s="49"/>
      <c r="P230" s="49"/>
      <c r="Q230" s="49"/>
      <c r="S230" s="49"/>
      <c r="U230" s="110"/>
      <c r="V230" s="217"/>
      <c r="W230" s="217"/>
      <c r="X230" s="217"/>
      <c r="Y230" s="217"/>
      <c r="Z230" s="217"/>
      <c r="AA230" s="217"/>
      <c r="AB230" s="217"/>
      <c r="AC230" s="217"/>
      <c r="AD230" s="217"/>
      <c r="AE230" s="217"/>
      <c r="AF230" s="217"/>
      <c r="AG230" s="217"/>
      <c r="AH230" s="217"/>
      <c r="AI230" s="217"/>
      <c r="AJ230" s="217"/>
      <c r="AK230" s="217"/>
      <c r="AL230" s="49"/>
      <c r="AM230" s="49"/>
      <c r="AN230" s="49"/>
      <c r="AO230" s="49"/>
    </row>
    <row r="231" spans="11:41" ht="13.5" customHeight="1">
      <c r="K231" s="49"/>
      <c r="L231" s="49"/>
      <c r="M231" s="49"/>
      <c r="N231" s="49"/>
      <c r="O231" s="49"/>
      <c r="P231" s="49"/>
      <c r="Q231" s="49"/>
      <c r="S231" s="49"/>
      <c r="U231" s="110"/>
      <c r="V231" s="217"/>
      <c r="W231" s="217"/>
      <c r="X231" s="217"/>
      <c r="Y231" s="217"/>
      <c r="Z231" s="217"/>
      <c r="AA231" s="217"/>
      <c r="AB231" s="217"/>
      <c r="AC231" s="217"/>
      <c r="AD231" s="217"/>
      <c r="AE231" s="217"/>
      <c r="AF231" s="217"/>
      <c r="AG231" s="217"/>
      <c r="AH231" s="217"/>
      <c r="AI231" s="217"/>
      <c r="AJ231" s="217"/>
      <c r="AK231" s="217"/>
      <c r="AL231" s="49"/>
      <c r="AM231" s="49"/>
      <c r="AN231" s="49"/>
      <c r="AO231" s="49"/>
    </row>
    <row r="232" spans="11:41" ht="13.5" customHeight="1">
      <c r="K232" s="49"/>
      <c r="L232" s="49"/>
      <c r="M232" s="49"/>
      <c r="N232" s="49"/>
      <c r="O232" s="49"/>
      <c r="P232" s="49"/>
      <c r="Q232" s="49"/>
      <c r="S232" s="49"/>
      <c r="U232" s="110"/>
      <c r="V232" s="217"/>
      <c r="W232" s="217"/>
      <c r="X232" s="217"/>
      <c r="Y232" s="217"/>
      <c r="Z232" s="217"/>
      <c r="AA232" s="217"/>
      <c r="AB232" s="217"/>
      <c r="AC232" s="217"/>
      <c r="AD232" s="217"/>
      <c r="AE232" s="217"/>
      <c r="AF232" s="217"/>
      <c r="AG232" s="217"/>
      <c r="AH232" s="217"/>
      <c r="AI232" s="217"/>
      <c r="AJ232" s="217"/>
      <c r="AK232" s="217"/>
      <c r="AL232" s="49"/>
      <c r="AM232" s="49"/>
      <c r="AN232" s="49"/>
      <c r="AO232" s="49"/>
    </row>
    <row r="233" spans="11:41" ht="13.5" customHeight="1">
      <c r="K233" s="49"/>
      <c r="L233" s="49"/>
      <c r="M233" s="49"/>
      <c r="N233" s="49"/>
      <c r="O233" s="49"/>
      <c r="P233" s="49"/>
      <c r="Q233" s="49"/>
      <c r="S233" s="49"/>
      <c r="U233" s="110"/>
      <c r="V233" s="217"/>
      <c r="W233" s="217"/>
      <c r="X233" s="217"/>
      <c r="Y233" s="217"/>
      <c r="Z233" s="217"/>
      <c r="AA233" s="217"/>
      <c r="AB233" s="217"/>
      <c r="AC233" s="217"/>
      <c r="AD233" s="217"/>
      <c r="AE233" s="217"/>
      <c r="AF233" s="217"/>
      <c r="AG233" s="217"/>
      <c r="AH233" s="217"/>
      <c r="AI233" s="217"/>
      <c r="AJ233" s="217"/>
      <c r="AK233" s="217"/>
      <c r="AL233" s="49"/>
      <c r="AM233" s="49"/>
      <c r="AN233" s="49"/>
      <c r="AO233" s="49"/>
    </row>
    <row r="234" spans="11:41" ht="13.5" customHeight="1">
      <c r="K234" s="49"/>
      <c r="L234" s="49"/>
      <c r="M234" s="49"/>
      <c r="N234" s="49"/>
      <c r="O234" s="49"/>
      <c r="P234" s="49"/>
      <c r="Q234" s="49"/>
      <c r="S234" s="49"/>
      <c r="U234" s="110"/>
      <c r="V234" s="217"/>
      <c r="W234" s="217"/>
      <c r="X234" s="217"/>
      <c r="Y234" s="217"/>
      <c r="Z234" s="217"/>
      <c r="AA234" s="217"/>
      <c r="AB234" s="217"/>
      <c r="AC234" s="217"/>
      <c r="AD234" s="217"/>
      <c r="AE234" s="217"/>
      <c r="AF234" s="217"/>
      <c r="AG234" s="217"/>
      <c r="AH234" s="217"/>
      <c r="AI234" s="217"/>
      <c r="AJ234" s="217"/>
      <c r="AK234" s="217"/>
      <c r="AL234" s="49"/>
      <c r="AM234" s="49"/>
      <c r="AN234" s="49"/>
      <c r="AO234" s="49"/>
    </row>
    <row r="235" spans="11:41" ht="13.5" customHeight="1">
      <c r="K235" s="49"/>
      <c r="L235" s="49"/>
      <c r="M235" s="49"/>
      <c r="N235" s="49"/>
      <c r="O235" s="49"/>
      <c r="P235" s="49"/>
      <c r="Q235" s="49"/>
      <c r="S235" s="49"/>
      <c r="U235" s="110"/>
      <c r="V235" s="217"/>
      <c r="W235" s="217"/>
      <c r="X235" s="217"/>
      <c r="Y235" s="217"/>
      <c r="Z235" s="217"/>
      <c r="AA235" s="217"/>
      <c r="AB235" s="217"/>
      <c r="AC235" s="217"/>
      <c r="AD235" s="217"/>
      <c r="AE235" s="217"/>
      <c r="AF235" s="217"/>
      <c r="AG235" s="217"/>
      <c r="AH235" s="217"/>
      <c r="AI235" s="217"/>
      <c r="AJ235" s="217"/>
      <c r="AK235" s="217"/>
      <c r="AL235" s="49"/>
      <c r="AM235" s="49"/>
      <c r="AN235" s="49"/>
      <c r="AO235" s="49"/>
    </row>
    <row r="236" spans="11:41" ht="13.5" customHeight="1">
      <c r="K236" s="49"/>
      <c r="L236" s="49"/>
      <c r="M236" s="49"/>
      <c r="N236" s="49"/>
      <c r="O236" s="49"/>
      <c r="P236" s="49"/>
      <c r="Q236" s="49"/>
      <c r="S236" s="49"/>
      <c r="U236" s="110"/>
      <c r="V236" s="217"/>
      <c r="W236" s="217"/>
      <c r="X236" s="217"/>
      <c r="Y236" s="217"/>
      <c r="Z236" s="217"/>
      <c r="AA236" s="217"/>
      <c r="AB236" s="217"/>
      <c r="AC236" s="217"/>
      <c r="AD236" s="217"/>
      <c r="AE236" s="217"/>
      <c r="AF236" s="217"/>
      <c r="AG236" s="217"/>
      <c r="AH236" s="217"/>
      <c r="AI236" s="217"/>
      <c r="AJ236" s="217"/>
      <c r="AK236" s="217"/>
      <c r="AL236" s="49"/>
      <c r="AM236" s="49"/>
      <c r="AN236" s="49"/>
      <c r="AO236" s="49"/>
    </row>
    <row r="237" spans="11:41" ht="13.5" customHeight="1">
      <c r="K237" s="49"/>
      <c r="L237" s="49"/>
      <c r="M237" s="49"/>
      <c r="N237" s="49"/>
      <c r="O237" s="49"/>
      <c r="P237" s="49"/>
      <c r="Q237" s="49"/>
      <c r="S237" s="49"/>
      <c r="U237" s="110"/>
      <c r="V237" s="217"/>
      <c r="W237" s="217"/>
      <c r="X237" s="217"/>
      <c r="Y237" s="217"/>
      <c r="Z237" s="217"/>
      <c r="AA237" s="217"/>
      <c r="AB237" s="217"/>
      <c r="AC237" s="217"/>
      <c r="AD237" s="217"/>
      <c r="AE237" s="217"/>
      <c r="AF237" s="217"/>
      <c r="AG237" s="217"/>
      <c r="AH237" s="217"/>
      <c r="AI237" s="217"/>
      <c r="AJ237" s="217"/>
      <c r="AK237" s="217"/>
      <c r="AL237" s="49"/>
      <c r="AM237" s="49"/>
      <c r="AN237" s="49"/>
      <c r="AO237" s="49"/>
    </row>
    <row r="238" spans="11:41" ht="13.5" customHeight="1">
      <c r="K238" s="49"/>
      <c r="L238" s="49"/>
      <c r="M238" s="49"/>
      <c r="N238" s="49"/>
      <c r="O238" s="49"/>
      <c r="P238" s="49"/>
      <c r="Q238" s="49"/>
      <c r="S238" s="49"/>
      <c r="U238" s="110"/>
      <c r="V238" s="217"/>
      <c r="W238" s="217"/>
      <c r="X238" s="217"/>
      <c r="Y238" s="217"/>
      <c r="Z238" s="217"/>
      <c r="AA238" s="217"/>
      <c r="AB238" s="217"/>
      <c r="AC238" s="217"/>
      <c r="AD238" s="217"/>
      <c r="AE238" s="217"/>
      <c r="AF238" s="217"/>
      <c r="AG238" s="217"/>
      <c r="AH238" s="217"/>
      <c r="AI238" s="217"/>
      <c r="AJ238" s="217"/>
      <c r="AK238" s="217"/>
      <c r="AL238" s="49"/>
      <c r="AM238" s="49"/>
      <c r="AN238" s="49"/>
      <c r="AO238" s="49"/>
    </row>
    <row r="239" spans="11:41" ht="13.5" customHeight="1">
      <c r="K239" s="49"/>
      <c r="L239" s="49"/>
      <c r="M239" s="49"/>
      <c r="N239" s="49"/>
      <c r="O239" s="49"/>
      <c r="P239" s="49"/>
      <c r="Q239" s="49"/>
      <c r="S239" s="49"/>
      <c r="U239" s="110"/>
      <c r="V239" s="217"/>
      <c r="W239" s="217"/>
      <c r="X239" s="217"/>
      <c r="Y239" s="217"/>
      <c r="Z239" s="217"/>
      <c r="AA239" s="217"/>
      <c r="AB239" s="217"/>
      <c r="AC239" s="217"/>
      <c r="AD239" s="217"/>
      <c r="AE239" s="217"/>
      <c r="AF239" s="217"/>
      <c r="AG239" s="217"/>
      <c r="AH239" s="217"/>
      <c r="AI239" s="217"/>
      <c r="AJ239" s="217"/>
      <c r="AK239" s="217"/>
      <c r="AL239" s="49"/>
      <c r="AM239" s="49"/>
      <c r="AN239" s="49"/>
      <c r="AO239" s="49"/>
    </row>
    <row r="240" spans="11:41" ht="13.5" customHeight="1">
      <c r="K240" s="49"/>
      <c r="L240" s="49"/>
      <c r="M240" s="49"/>
      <c r="N240" s="49"/>
      <c r="O240" s="49"/>
      <c r="P240" s="49"/>
      <c r="Q240" s="49"/>
      <c r="S240" s="49"/>
      <c r="U240" s="110"/>
      <c r="V240" s="217"/>
      <c r="W240" s="217"/>
      <c r="X240" s="217"/>
      <c r="Y240" s="217"/>
      <c r="Z240" s="217"/>
      <c r="AA240" s="217"/>
      <c r="AB240" s="217"/>
      <c r="AC240" s="217"/>
      <c r="AD240" s="217"/>
      <c r="AE240" s="217"/>
      <c r="AF240" s="217"/>
      <c r="AG240" s="217"/>
      <c r="AH240" s="217"/>
      <c r="AI240" s="217"/>
      <c r="AJ240" s="217"/>
      <c r="AK240" s="217"/>
      <c r="AL240" s="49"/>
      <c r="AM240" s="49"/>
      <c r="AN240" s="49"/>
      <c r="AO240" s="49"/>
    </row>
    <row r="241" spans="11:41" ht="13.5" customHeight="1">
      <c r="K241" s="49"/>
      <c r="L241" s="49"/>
      <c r="M241" s="49"/>
      <c r="N241" s="49"/>
      <c r="O241" s="49"/>
      <c r="P241" s="49"/>
      <c r="Q241" s="49"/>
      <c r="S241" s="49"/>
      <c r="U241" s="110"/>
      <c r="V241" s="217"/>
      <c r="W241" s="217"/>
      <c r="X241" s="217"/>
      <c r="Y241" s="217"/>
      <c r="Z241" s="217"/>
      <c r="AA241" s="217"/>
      <c r="AB241" s="217"/>
      <c r="AC241" s="217"/>
      <c r="AD241" s="217"/>
      <c r="AE241" s="217"/>
      <c r="AF241" s="217"/>
      <c r="AG241" s="217"/>
      <c r="AH241" s="217"/>
      <c r="AI241" s="217"/>
      <c r="AJ241" s="217"/>
      <c r="AK241" s="217"/>
      <c r="AL241" s="49"/>
      <c r="AM241" s="49"/>
      <c r="AN241" s="49"/>
      <c r="AO241" s="49"/>
    </row>
    <row r="242" spans="11:41" ht="13.5" customHeight="1">
      <c r="K242" s="49"/>
      <c r="L242" s="49"/>
      <c r="M242" s="49"/>
      <c r="N242" s="49"/>
      <c r="O242" s="49"/>
      <c r="P242" s="49"/>
      <c r="Q242" s="49"/>
      <c r="S242" s="49"/>
      <c r="U242" s="110"/>
      <c r="V242" s="217"/>
      <c r="W242" s="217"/>
      <c r="X242" s="217"/>
      <c r="Y242" s="217"/>
      <c r="Z242" s="217"/>
      <c r="AA242" s="217"/>
      <c r="AB242" s="217"/>
      <c r="AC242" s="217"/>
      <c r="AD242" s="217"/>
      <c r="AE242" s="217"/>
      <c r="AF242" s="217"/>
      <c r="AG242" s="217"/>
      <c r="AH242" s="217"/>
      <c r="AI242" s="217"/>
      <c r="AJ242" s="217"/>
      <c r="AK242" s="217"/>
      <c r="AL242" s="49"/>
      <c r="AM242" s="49"/>
      <c r="AN242" s="49"/>
      <c r="AO242" s="49"/>
    </row>
    <row r="243" spans="11:41" ht="13.5" customHeight="1">
      <c r="K243" s="49"/>
      <c r="L243" s="49"/>
      <c r="M243" s="49"/>
      <c r="N243" s="49"/>
      <c r="O243" s="49"/>
      <c r="P243" s="49"/>
      <c r="Q243" s="49"/>
      <c r="S243" s="49"/>
      <c r="U243" s="110"/>
      <c r="V243" s="217"/>
      <c r="W243" s="217"/>
      <c r="X243" s="217"/>
      <c r="Y243" s="217"/>
      <c r="Z243" s="217"/>
      <c r="AA243" s="217"/>
      <c r="AB243" s="217"/>
      <c r="AC243" s="217"/>
      <c r="AD243" s="217"/>
      <c r="AE243" s="217"/>
      <c r="AF243" s="217"/>
      <c r="AG243" s="217"/>
      <c r="AH243" s="217"/>
      <c r="AI243" s="217"/>
      <c r="AJ243" s="217"/>
      <c r="AK243" s="217"/>
      <c r="AL243" s="49"/>
      <c r="AM243" s="49"/>
      <c r="AN243" s="49"/>
      <c r="AO243" s="49"/>
    </row>
    <row r="244" spans="11:41" ht="13.5" customHeight="1">
      <c r="K244" s="49"/>
      <c r="L244" s="49"/>
      <c r="M244" s="49"/>
      <c r="N244" s="49"/>
      <c r="O244" s="49"/>
      <c r="P244" s="49"/>
      <c r="Q244" s="49"/>
      <c r="S244" s="49"/>
      <c r="U244" s="110"/>
      <c r="V244" s="217"/>
      <c r="W244" s="217"/>
      <c r="X244" s="217"/>
      <c r="Y244" s="217"/>
      <c r="Z244" s="217"/>
      <c r="AA244" s="217"/>
      <c r="AB244" s="217"/>
      <c r="AC244" s="217"/>
      <c r="AD244" s="217"/>
      <c r="AE244" s="217"/>
      <c r="AF244" s="217"/>
      <c r="AG244" s="217"/>
      <c r="AH244" s="217"/>
      <c r="AI244" s="217"/>
      <c r="AJ244" s="217"/>
      <c r="AK244" s="217"/>
      <c r="AL244" s="49"/>
      <c r="AM244" s="49"/>
      <c r="AN244" s="49"/>
      <c r="AO244" s="49"/>
    </row>
    <row r="245" spans="11:41" ht="13.5" customHeight="1">
      <c r="K245" s="49"/>
      <c r="L245" s="49"/>
      <c r="M245" s="49"/>
      <c r="N245" s="49"/>
      <c r="O245" s="49"/>
      <c r="P245" s="49"/>
      <c r="Q245" s="49"/>
      <c r="S245" s="49"/>
      <c r="U245" s="110"/>
      <c r="V245" s="217"/>
      <c r="W245" s="217"/>
      <c r="X245" s="217"/>
      <c r="Y245" s="217"/>
      <c r="Z245" s="217"/>
      <c r="AA245" s="217"/>
      <c r="AB245" s="217"/>
      <c r="AC245" s="217"/>
      <c r="AD245" s="217"/>
      <c r="AE245" s="217"/>
      <c r="AF245" s="217"/>
      <c r="AG245" s="217"/>
      <c r="AH245" s="217"/>
      <c r="AI245" s="217"/>
      <c r="AJ245" s="217"/>
      <c r="AK245" s="217"/>
      <c r="AL245" s="49"/>
      <c r="AM245" s="49"/>
      <c r="AN245" s="49"/>
      <c r="AO245" s="49"/>
    </row>
    <row r="246" spans="11:41" ht="13.5" customHeight="1">
      <c r="K246" s="49"/>
      <c r="L246" s="49"/>
      <c r="M246" s="49"/>
      <c r="N246" s="49"/>
      <c r="O246" s="49"/>
      <c r="P246" s="49"/>
      <c r="Q246" s="49"/>
      <c r="S246" s="49"/>
      <c r="U246" s="110"/>
      <c r="V246" s="217"/>
      <c r="W246" s="217"/>
      <c r="X246" s="217"/>
      <c r="Y246" s="217"/>
      <c r="Z246" s="217"/>
      <c r="AA246" s="217"/>
      <c r="AB246" s="217"/>
      <c r="AC246" s="217"/>
      <c r="AD246" s="217"/>
      <c r="AE246" s="217"/>
      <c r="AF246" s="217"/>
      <c r="AG246" s="217"/>
      <c r="AH246" s="217"/>
      <c r="AI246" s="217"/>
      <c r="AJ246" s="217"/>
      <c r="AK246" s="217"/>
      <c r="AL246" s="49"/>
      <c r="AM246" s="49"/>
      <c r="AN246" s="49"/>
      <c r="AO246" s="49"/>
    </row>
    <row r="247" spans="11:41" ht="13.5" customHeight="1">
      <c r="K247" s="49"/>
      <c r="L247" s="49"/>
      <c r="M247" s="49"/>
      <c r="N247" s="49"/>
      <c r="O247" s="49"/>
      <c r="P247" s="49"/>
      <c r="Q247" s="49"/>
      <c r="S247" s="49"/>
      <c r="U247" s="110"/>
      <c r="V247" s="217"/>
      <c r="W247" s="217"/>
      <c r="X247" s="217"/>
      <c r="Y247" s="217"/>
      <c r="Z247" s="217"/>
      <c r="AA247" s="217"/>
      <c r="AB247" s="217"/>
      <c r="AC247" s="217"/>
      <c r="AD247" s="217"/>
      <c r="AE247" s="217"/>
      <c r="AF247" s="217"/>
      <c r="AG247" s="217"/>
      <c r="AH247" s="217"/>
      <c r="AI247" s="217"/>
      <c r="AJ247" s="217"/>
      <c r="AK247" s="217"/>
      <c r="AL247" s="49"/>
      <c r="AM247" s="49"/>
      <c r="AN247" s="49"/>
      <c r="AO247" s="49"/>
    </row>
    <row r="248" spans="11:41" ht="13.5" customHeight="1">
      <c r="K248" s="49"/>
      <c r="L248" s="49"/>
      <c r="M248" s="49"/>
      <c r="N248" s="49"/>
      <c r="O248" s="49"/>
      <c r="P248" s="49"/>
      <c r="Q248" s="49"/>
      <c r="S248" s="49"/>
      <c r="U248" s="110"/>
      <c r="V248" s="217"/>
      <c r="W248" s="217"/>
      <c r="X248" s="217"/>
      <c r="Y248" s="217"/>
      <c r="Z248" s="217"/>
      <c r="AA248" s="217"/>
      <c r="AB248" s="217"/>
      <c r="AC248" s="217"/>
      <c r="AD248" s="217"/>
      <c r="AE248" s="217"/>
      <c r="AF248" s="217"/>
      <c r="AG248" s="217"/>
      <c r="AH248" s="217"/>
      <c r="AI248" s="217"/>
      <c r="AJ248" s="217"/>
      <c r="AK248" s="217"/>
      <c r="AL248" s="49"/>
      <c r="AM248" s="49"/>
      <c r="AN248" s="49"/>
      <c r="AO248" s="49"/>
    </row>
    <row r="249" spans="11:41" ht="13.5" customHeight="1">
      <c r="K249" s="49"/>
      <c r="L249" s="49"/>
      <c r="M249" s="49"/>
      <c r="N249" s="49"/>
      <c r="O249" s="49"/>
      <c r="P249" s="49"/>
      <c r="Q249" s="49"/>
      <c r="S249" s="49"/>
      <c r="U249" s="110"/>
      <c r="V249" s="217"/>
      <c r="W249" s="217"/>
      <c r="X249" s="217"/>
      <c r="Y249" s="217"/>
      <c r="Z249" s="217"/>
      <c r="AA249" s="217"/>
      <c r="AB249" s="217"/>
      <c r="AC249" s="217"/>
      <c r="AD249" s="217"/>
      <c r="AE249" s="217"/>
      <c r="AF249" s="217"/>
      <c r="AG249" s="217"/>
      <c r="AH249" s="217"/>
      <c r="AI249" s="217"/>
      <c r="AJ249" s="217"/>
      <c r="AK249" s="217"/>
      <c r="AL249" s="49"/>
      <c r="AM249" s="49"/>
      <c r="AN249" s="49"/>
      <c r="AO249" s="49"/>
    </row>
    <row r="250" spans="11:41" ht="13.5" customHeight="1">
      <c r="K250" s="49"/>
      <c r="L250" s="49"/>
      <c r="M250" s="49"/>
      <c r="N250" s="49"/>
      <c r="O250" s="49"/>
      <c r="P250" s="49"/>
      <c r="Q250" s="49"/>
      <c r="S250" s="49"/>
      <c r="U250" s="110"/>
      <c r="V250" s="217"/>
      <c r="W250" s="217"/>
      <c r="X250" s="217"/>
      <c r="Y250" s="217"/>
      <c r="Z250" s="217"/>
      <c r="AA250" s="217"/>
      <c r="AB250" s="217"/>
      <c r="AC250" s="217"/>
      <c r="AD250" s="217"/>
      <c r="AE250" s="217"/>
      <c r="AF250" s="217"/>
      <c r="AG250" s="217"/>
      <c r="AH250" s="217"/>
      <c r="AI250" s="217"/>
      <c r="AJ250" s="217"/>
      <c r="AK250" s="217"/>
      <c r="AL250" s="49"/>
      <c r="AM250" s="49"/>
      <c r="AN250" s="49"/>
      <c r="AO250" s="49"/>
    </row>
    <row r="251" spans="11:41" ht="13.5" customHeight="1">
      <c r="K251" s="49"/>
      <c r="L251" s="49"/>
      <c r="M251" s="49"/>
      <c r="N251" s="49"/>
      <c r="O251" s="49"/>
      <c r="P251" s="49"/>
      <c r="Q251" s="49"/>
      <c r="S251" s="49"/>
      <c r="U251" s="110"/>
      <c r="V251" s="217"/>
      <c r="W251" s="217"/>
      <c r="X251" s="217"/>
      <c r="Y251" s="217"/>
      <c r="Z251" s="217"/>
      <c r="AA251" s="217"/>
      <c r="AB251" s="217"/>
      <c r="AC251" s="217"/>
      <c r="AD251" s="217"/>
      <c r="AE251" s="217"/>
      <c r="AF251" s="217"/>
      <c r="AG251" s="217"/>
      <c r="AH251" s="217"/>
      <c r="AI251" s="217"/>
      <c r="AJ251" s="217"/>
      <c r="AK251" s="217"/>
      <c r="AL251" s="49"/>
      <c r="AM251" s="49"/>
      <c r="AN251" s="49"/>
      <c r="AO251" s="49"/>
    </row>
    <row r="252" spans="11:41" ht="13.5" customHeight="1">
      <c r="K252" s="49"/>
      <c r="L252" s="49"/>
      <c r="M252" s="49"/>
      <c r="N252" s="49"/>
      <c r="O252" s="49"/>
      <c r="P252" s="49"/>
      <c r="Q252" s="49"/>
      <c r="S252" s="49"/>
      <c r="U252" s="110"/>
      <c r="V252" s="217"/>
      <c r="W252" s="217"/>
      <c r="X252" s="217"/>
      <c r="Y252" s="217"/>
      <c r="Z252" s="217"/>
      <c r="AA252" s="217"/>
      <c r="AB252" s="217"/>
      <c r="AC252" s="217"/>
      <c r="AD252" s="217"/>
      <c r="AE252" s="217"/>
      <c r="AF252" s="217"/>
      <c r="AG252" s="217"/>
      <c r="AH252" s="217"/>
      <c r="AI252" s="217"/>
      <c r="AJ252" s="217"/>
      <c r="AK252" s="217"/>
      <c r="AL252" s="49"/>
      <c r="AM252" s="49"/>
      <c r="AN252" s="49"/>
      <c r="AO252" s="49"/>
    </row>
    <row r="253" spans="11:41" ht="13.5" customHeight="1">
      <c r="K253" s="49"/>
      <c r="L253" s="49"/>
      <c r="M253" s="49"/>
      <c r="N253" s="49"/>
      <c r="O253" s="49"/>
      <c r="P253" s="49"/>
      <c r="Q253" s="49"/>
      <c r="S253" s="49"/>
      <c r="U253" s="110"/>
      <c r="V253" s="217"/>
      <c r="W253" s="217"/>
      <c r="X253" s="217"/>
      <c r="Y253" s="217"/>
      <c r="Z253" s="217"/>
      <c r="AA253" s="217"/>
      <c r="AB253" s="217"/>
      <c r="AC253" s="217"/>
      <c r="AD253" s="217"/>
      <c r="AE253" s="217"/>
      <c r="AF253" s="217"/>
      <c r="AG253" s="217"/>
      <c r="AH253" s="217"/>
      <c r="AI253" s="217"/>
      <c r="AJ253" s="217"/>
      <c r="AK253" s="217"/>
      <c r="AL253" s="49"/>
      <c r="AM253" s="49"/>
      <c r="AN253" s="49"/>
      <c r="AO253" s="49"/>
    </row>
    <row r="254" spans="11:41" ht="13.5" customHeight="1">
      <c r="K254" s="49"/>
      <c r="L254" s="49"/>
      <c r="M254" s="49"/>
      <c r="N254" s="49"/>
      <c r="O254" s="49"/>
      <c r="P254" s="49"/>
      <c r="Q254" s="49"/>
      <c r="S254" s="49"/>
      <c r="U254" s="110"/>
      <c r="V254" s="217"/>
      <c r="W254" s="217"/>
      <c r="X254" s="217"/>
      <c r="Y254" s="217"/>
      <c r="Z254" s="217"/>
      <c r="AA254" s="217"/>
      <c r="AB254" s="217"/>
      <c r="AC254" s="217"/>
      <c r="AD254" s="217"/>
      <c r="AE254" s="217"/>
      <c r="AF254" s="217"/>
      <c r="AG254" s="217"/>
      <c r="AH254" s="217"/>
      <c r="AI254" s="217"/>
      <c r="AJ254" s="217"/>
      <c r="AK254" s="217"/>
      <c r="AL254" s="49"/>
      <c r="AM254" s="49"/>
      <c r="AN254" s="49"/>
      <c r="AO254" s="49"/>
    </row>
    <row r="255" spans="11:41" ht="13.5" customHeight="1">
      <c r="K255" s="49"/>
      <c r="L255" s="49"/>
      <c r="M255" s="49"/>
      <c r="N255" s="49"/>
      <c r="O255" s="49"/>
      <c r="P255" s="49"/>
      <c r="Q255" s="49"/>
      <c r="S255" s="49"/>
      <c r="U255" s="110"/>
      <c r="V255" s="217"/>
      <c r="W255" s="217"/>
      <c r="X255" s="217"/>
      <c r="Y255" s="217"/>
      <c r="Z255" s="217"/>
      <c r="AA255" s="217"/>
      <c r="AB255" s="217"/>
      <c r="AC255" s="217"/>
      <c r="AD255" s="217"/>
      <c r="AE255" s="217"/>
      <c r="AF255" s="217"/>
      <c r="AG255" s="217"/>
      <c r="AH255" s="217"/>
      <c r="AI255" s="217"/>
      <c r="AJ255" s="217"/>
      <c r="AK255" s="217"/>
      <c r="AL255" s="49"/>
      <c r="AM255" s="49"/>
      <c r="AN255" s="49"/>
      <c r="AO255" s="49"/>
    </row>
    <row r="256" spans="11:41" ht="13.5" customHeight="1">
      <c r="K256" s="49"/>
      <c r="L256" s="49"/>
      <c r="M256" s="49"/>
      <c r="N256" s="49"/>
      <c r="O256" s="49"/>
      <c r="P256" s="49"/>
      <c r="Q256" s="49"/>
      <c r="S256" s="49"/>
      <c r="U256" s="110"/>
      <c r="V256" s="217"/>
      <c r="W256" s="217"/>
      <c r="X256" s="217"/>
      <c r="Y256" s="217"/>
      <c r="Z256" s="217"/>
      <c r="AA256" s="217"/>
      <c r="AB256" s="217"/>
      <c r="AC256" s="217"/>
      <c r="AD256" s="217"/>
      <c r="AE256" s="217"/>
      <c r="AF256" s="217"/>
      <c r="AG256" s="217"/>
      <c r="AH256" s="217"/>
      <c r="AI256" s="217"/>
      <c r="AJ256" s="217"/>
      <c r="AK256" s="217"/>
      <c r="AL256" s="49"/>
      <c r="AM256" s="49"/>
      <c r="AN256" s="49"/>
      <c r="AO256" s="49"/>
    </row>
    <row r="257" spans="11:41" ht="13.5" customHeight="1">
      <c r="K257" s="49"/>
      <c r="L257" s="49"/>
      <c r="M257" s="49"/>
      <c r="N257" s="49"/>
      <c r="O257" s="49"/>
      <c r="P257" s="49"/>
      <c r="Q257" s="49"/>
      <c r="S257" s="49"/>
      <c r="U257" s="110"/>
      <c r="V257" s="217"/>
      <c r="W257" s="217"/>
      <c r="X257" s="217"/>
      <c r="Y257" s="217"/>
      <c r="Z257" s="217"/>
      <c r="AA257" s="217"/>
      <c r="AB257" s="217"/>
      <c r="AC257" s="217"/>
      <c r="AD257" s="217"/>
      <c r="AE257" s="217"/>
      <c r="AF257" s="217"/>
      <c r="AG257" s="217"/>
      <c r="AH257" s="217"/>
      <c r="AI257" s="217"/>
      <c r="AJ257" s="217"/>
      <c r="AK257" s="217"/>
      <c r="AL257" s="49"/>
      <c r="AM257" s="49"/>
      <c r="AN257" s="49"/>
      <c r="AO257" s="49"/>
    </row>
    <row r="258" spans="11:41" ht="13.5" customHeight="1">
      <c r="K258" s="49"/>
      <c r="L258" s="49"/>
      <c r="M258" s="49"/>
      <c r="N258" s="49"/>
      <c r="O258" s="49"/>
      <c r="P258" s="49"/>
      <c r="Q258" s="49"/>
      <c r="S258" s="49"/>
      <c r="U258" s="110"/>
      <c r="V258" s="217"/>
      <c r="W258" s="217"/>
      <c r="X258" s="217"/>
      <c r="Y258" s="217"/>
      <c r="Z258" s="217"/>
      <c r="AA258" s="217"/>
      <c r="AB258" s="217"/>
      <c r="AC258" s="217"/>
      <c r="AD258" s="217"/>
      <c r="AE258" s="217"/>
      <c r="AF258" s="217"/>
      <c r="AG258" s="217"/>
      <c r="AH258" s="217"/>
      <c r="AI258" s="217"/>
      <c r="AJ258" s="217"/>
      <c r="AK258" s="217"/>
      <c r="AL258" s="49"/>
      <c r="AM258" s="49"/>
      <c r="AN258" s="49"/>
      <c r="AO258" s="49"/>
    </row>
    <row r="259" spans="11:41" ht="13.5" customHeight="1">
      <c r="K259" s="49"/>
      <c r="L259" s="49"/>
      <c r="M259" s="49"/>
      <c r="N259" s="49"/>
      <c r="O259" s="49"/>
      <c r="P259" s="49"/>
      <c r="Q259" s="49"/>
      <c r="S259" s="49"/>
      <c r="U259" s="110"/>
      <c r="V259" s="217"/>
      <c r="W259" s="217"/>
      <c r="X259" s="217"/>
      <c r="Y259" s="217"/>
      <c r="Z259" s="217"/>
      <c r="AA259" s="217"/>
      <c r="AB259" s="217"/>
      <c r="AC259" s="217"/>
      <c r="AD259" s="217"/>
      <c r="AE259" s="217"/>
      <c r="AF259" s="217"/>
      <c r="AG259" s="217"/>
      <c r="AH259" s="217"/>
      <c r="AI259" s="217"/>
      <c r="AJ259" s="217"/>
      <c r="AK259" s="217"/>
      <c r="AL259" s="49"/>
      <c r="AM259" s="49"/>
      <c r="AN259" s="49"/>
      <c r="AO259" s="49"/>
    </row>
    <row r="260" spans="11:41" ht="13.5" customHeight="1">
      <c r="K260" s="49"/>
      <c r="L260" s="49"/>
      <c r="M260" s="49"/>
      <c r="N260" s="49"/>
      <c r="O260" s="49"/>
      <c r="P260" s="49"/>
      <c r="Q260" s="49"/>
      <c r="S260" s="49"/>
      <c r="U260" s="110"/>
      <c r="V260" s="217"/>
      <c r="W260" s="217"/>
      <c r="X260" s="217"/>
      <c r="Y260" s="217"/>
      <c r="Z260" s="217"/>
      <c r="AA260" s="217"/>
      <c r="AB260" s="217"/>
      <c r="AC260" s="217"/>
      <c r="AD260" s="217"/>
      <c r="AE260" s="217"/>
      <c r="AF260" s="217"/>
      <c r="AG260" s="217"/>
      <c r="AH260" s="217"/>
      <c r="AI260" s="217"/>
      <c r="AJ260" s="217"/>
      <c r="AK260" s="217"/>
      <c r="AL260" s="49"/>
      <c r="AM260" s="49"/>
      <c r="AN260" s="49"/>
      <c r="AO260" s="49"/>
    </row>
    <row r="261" spans="11:41" ht="13.5" customHeight="1">
      <c r="K261" s="49"/>
      <c r="L261" s="49"/>
      <c r="M261" s="49"/>
      <c r="N261" s="49"/>
      <c r="O261" s="49"/>
      <c r="P261" s="49"/>
      <c r="Q261" s="49"/>
      <c r="S261" s="49"/>
      <c r="U261" s="110"/>
      <c r="V261" s="217"/>
      <c r="W261" s="217"/>
      <c r="X261" s="217"/>
      <c r="Y261" s="217"/>
      <c r="Z261" s="217"/>
      <c r="AA261" s="217"/>
      <c r="AB261" s="217"/>
      <c r="AC261" s="217"/>
      <c r="AD261" s="217"/>
      <c r="AE261" s="217"/>
      <c r="AF261" s="217"/>
      <c r="AG261" s="217"/>
      <c r="AH261" s="217"/>
      <c r="AI261" s="217"/>
      <c r="AJ261" s="217"/>
      <c r="AK261" s="217"/>
      <c r="AL261" s="49"/>
      <c r="AM261" s="49"/>
      <c r="AN261" s="49"/>
      <c r="AO261" s="49"/>
    </row>
    <row r="262" spans="11:41" ht="13.5" customHeight="1">
      <c r="K262" s="49"/>
      <c r="L262" s="49"/>
      <c r="M262" s="49"/>
      <c r="N262" s="49"/>
      <c r="O262" s="49"/>
      <c r="P262" s="49"/>
      <c r="Q262" s="49"/>
      <c r="S262" s="49"/>
      <c r="U262" s="110"/>
      <c r="V262" s="217"/>
      <c r="W262" s="217"/>
      <c r="X262" s="217"/>
      <c r="Y262" s="217"/>
      <c r="Z262" s="217"/>
      <c r="AA262" s="217"/>
      <c r="AB262" s="217"/>
      <c r="AC262" s="217"/>
      <c r="AD262" s="217"/>
      <c r="AE262" s="217"/>
      <c r="AF262" s="217"/>
      <c r="AG262" s="217"/>
      <c r="AH262" s="217"/>
      <c r="AI262" s="217"/>
      <c r="AJ262" s="217"/>
      <c r="AK262" s="217"/>
      <c r="AL262" s="49"/>
      <c r="AM262" s="49"/>
      <c r="AN262" s="49"/>
      <c r="AO262" s="49"/>
    </row>
    <row r="263" spans="11:41" ht="13.5" customHeight="1">
      <c r="K263" s="49"/>
      <c r="L263" s="49"/>
      <c r="M263" s="49"/>
      <c r="N263" s="49"/>
      <c r="O263" s="49"/>
      <c r="P263" s="49"/>
      <c r="Q263" s="49"/>
      <c r="S263" s="49"/>
      <c r="U263" s="110"/>
      <c r="V263" s="217"/>
      <c r="W263" s="217"/>
      <c r="X263" s="217"/>
      <c r="Y263" s="217"/>
      <c r="Z263" s="217"/>
      <c r="AA263" s="217"/>
      <c r="AB263" s="217"/>
      <c r="AC263" s="217"/>
      <c r="AD263" s="217"/>
      <c r="AE263" s="217"/>
      <c r="AF263" s="217"/>
      <c r="AG263" s="217"/>
      <c r="AH263" s="217"/>
      <c r="AI263" s="217"/>
      <c r="AJ263" s="217"/>
      <c r="AK263" s="217"/>
      <c r="AL263" s="49"/>
      <c r="AM263" s="49"/>
      <c r="AN263" s="49"/>
      <c r="AO263" s="49"/>
    </row>
    <row r="264" spans="11:41" ht="13.5" customHeight="1">
      <c r="K264" s="49"/>
      <c r="L264" s="49"/>
      <c r="M264" s="49"/>
      <c r="N264" s="49"/>
      <c r="O264" s="49"/>
      <c r="P264" s="49"/>
      <c r="Q264" s="49"/>
      <c r="S264" s="49"/>
      <c r="U264" s="110"/>
      <c r="V264" s="217"/>
      <c r="W264" s="217"/>
      <c r="X264" s="217"/>
      <c r="Y264" s="217"/>
      <c r="Z264" s="217"/>
      <c r="AA264" s="217"/>
      <c r="AB264" s="217"/>
      <c r="AC264" s="217"/>
      <c r="AD264" s="217"/>
      <c r="AE264" s="217"/>
      <c r="AF264" s="217"/>
      <c r="AG264" s="217"/>
      <c r="AH264" s="217"/>
      <c r="AI264" s="217"/>
      <c r="AJ264" s="217"/>
      <c r="AK264" s="217"/>
      <c r="AL264" s="49"/>
      <c r="AM264" s="49"/>
      <c r="AN264" s="49"/>
      <c r="AO264" s="49"/>
    </row>
    <row r="265" spans="11:41" ht="13.5" customHeight="1">
      <c r="K265" s="49"/>
      <c r="L265" s="49"/>
      <c r="M265" s="49"/>
      <c r="N265" s="49"/>
      <c r="O265" s="49"/>
      <c r="P265" s="49"/>
      <c r="Q265" s="49"/>
      <c r="S265" s="49"/>
      <c r="U265" s="110"/>
      <c r="V265" s="217"/>
      <c r="W265" s="217"/>
      <c r="X265" s="217"/>
      <c r="Y265" s="217"/>
      <c r="Z265" s="217"/>
      <c r="AA265" s="217"/>
      <c r="AB265" s="217"/>
      <c r="AC265" s="217"/>
      <c r="AD265" s="217"/>
      <c r="AE265" s="217"/>
      <c r="AF265" s="217"/>
      <c r="AG265" s="217"/>
      <c r="AH265" s="217"/>
      <c r="AI265" s="217"/>
      <c r="AJ265" s="217"/>
      <c r="AK265" s="217"/>
      <c r="AL265" s="49"/>
      <c r="AM265" s="49"/>
      <c r="AN265" s="49"/>
      <c r="AO265" s="49"/>
    </row>
    <row r="266" spans="11:41" ht="13.5" customHeight="1">
      <c r="K266" s="49"/>
      <c r="L266" s="49"/>
      <c r="M266" s="49"/>
      <c r="N266" s="49"/>
      <c r="O266" s="49"/>
      <c r="P266" s="49"/>
      <c r="Q266" s="49"/>
      <c r="S266" s="49"/>
      <c r="U266" s="110"/>
      <c r="V266" s="217"/>
      <c r="W266" s="217"/>
      <c r="X266" s="217"/>
      <c r="Y266" s="217"/>
      <c r="Z266" s="217"/>
      <c r="AA266" s="217"/>
      <c r="AB266" s="217"/>
      <c r="AC266" s="217"/>
      <c r="AD266" s="217"/>
      <c r="AE266" s="217"/>
      <c r="AF266" s="217"/>
      <c r="AG266" s="217"/>
      <c r="AH266" s="217"/>
      <c r="AI266" s="217"/>
      <c r="AJ266" s="217"/>
      <c r="AK266" s="217"/>
      <c r="AL266" s="49"/>
      <c r="AM266" s="49"/>
      <c r="AN266" s="49"/>
      <c r="AO266" s="49"/>
    </row>
    <row r="267" spans="11:41" ht="13.5" customHeight="1">
      <c r="K267" s="49"/>
      <c r="L267" s="49"/>
      <c r="M267" s="49"/>
      <c r="N267" s="49"/>
      <c r="O267" s="49"/>
      <c r="P267" s="49"/>
      <c r="Q267" s="49"/>
      <c r="S267" s="49"/>
      <c r="U267" s="110"/>
      <c r="V267" s="217"/>
      <c r="W267" s="217"/>
      <c r="X267" s="217"/>
      <c r="Y267" s="217"/>
      <c r="Z267" s="217"/>
      <c r="AA267" s="217"/>
      <c r="AB267" s="217"/>
      <c r="AC267" s="217"/>
      <c r="AD267" s="217"/>
      <c r="AE267" s="217"/>
      <c r="AF267" s="217"/>
      <c r="AG267" s="217"/>
      <c r="AH267" s="217"/>
      <c r="AI267" s="217"/>
      <c r="AJ267" s="217"/>
      <c r="AK267" s="217"/>
      <c r="AL267" s="49"/>
      <c r="AM267" s="49"/>
      <c r="AN267" s="49"/>
      <c r="AO267" s="49"/>
    </row>
    <row r="268" spans="11:41" ht="13.5" customHeight="1">
      <c r="K268" s="49"/>
      <c r="L268" s="49"/>
      <c r="M268" s="49"/>
      <c r="N268" s="49"/>
      <c r="O268" s="49"/>
      <c r="P268" s="49"/>
      <c r="Q268" s="49"/>
      <c r="S268" s="49"/>
      <c r="U268" s="110"/>
      <c r="V268" s="217"/>
      <c r="W268" s="217"/>
      <c r="X268" s="217"/>
      <c r="Y268" s="217"/>
      <c r="Z268" s="217"/>
      <c r="AA268" s="217"/>
      <c r="AB268" s="217"/>
      <c r="AC268" s="217"/>
      <c r="AD268" s="217"/>
      <c r="AE268" s="217"/>
      <c r="AF268" s="217"/>
      <c r="AG268" s="217"/>
      <c r="AH268" s="217"/>
      <c r="AI268" s="217"/>
      <c r="AJ268" s="217"/>
      <c r="AK268" s="217"/>
      <c r="AL268" s="49"/>
      <c r="AM268" s="49"/>
      <c r="AN268" s="49"/>
      <c r="AO268" s="49"/>
    </row>
    <row r="269" spans="11:41" ht="13.5" customHeight="1">
      <c r="K269" s="49"/>
      <c r="L269" s="49"/>
      <c r="M269" s="49"/>
      <c r="N269" s="49"/>
      <c r="O269" s="49"/>
      <c r="P269" s="49"/>
      <c r="Q269" s="49"/>
      <c r="S269" s="49"/>
      <c r="U269" s="110"/>
      <c r="V269" s="217"/>
      <c r="W269" s="217"/>
      <c r="X269" s="217"/>
      <c r="Y269" s="217"/>
      <c r="Z269" s="217"/>
      <c r="AA269" s="217"/>
      <c r="AB269" s="217"/>
      <c r="AC269" s="217"/>
      <c r="AD269" s="217"/>
      <c r="AE269" s="217"/>
      <c r="AF269" s="217"/>
      <c r="AG269" s="217"/>
      <c r="AH269" s="217"/>
      <c r="AI269" s="217"/>
      <c r="AJ269" s="217"/>
      <c r="AK269" s="217"/>
      <c r="AL269" s="49"/>
      <c r="AM269" s="49"/>
      <c r="AN269" s="49"/>
      <c r="AO269" s="49"/>
    </row>
    <row r="270" spans="11:41" ht="13.5" customHeight="1">
      <c r="K270" s="49"/>
      <c r="L270" s="49"/>
      <c r="M270" s="49"/>
      <c r="N270" s="49"/>
      <c r="O270" s="49"/>
      <c r="P270" s="49"/>
      <c r="Q270" s="49"/>
      <c r="S270" s="49"/>
      <c r="U270" s="110"/>
      <c r="V270" s="217"/>
      <c r="W270" s="217"/>
      <c r="X270" s="217"/>
      <c r="Y270" s="217"/>
      <c r="Z270" s="217"/>
      <c r="AA270" s="217"/>
      <c r="AB270" s="217"/>
      <c r="AC270" s="217"/>
      <c r="AD270" s="217"/>
      <c r="AE270" s="217"/>
      <c r="AF270" s="217"/>
      <c r="AG270" s="217"/>
      <c r="AH270" s="217"/>
      <c r="AI270" s="217"/>
      <c r="AJ270" s="217"/>
      <c r="AK270" s="217"/>
      <c r="AL270" s="49"/>
      <c r="AM270" s="49"/>
      <c r="AN270" s="49"/>
      <c r="AO270" s="49"/>
    </row>
    <row r="271" spans="11:41" ht="13.5" customHeight="1">
      <c r="K271" s="49"/>
      <c r="L271" s="49"/>
      <c r="M271" s="49"/>
      <c r="N271" s="49"/>
      <c r="O271" s="49"/>
      <c r="P271" s="49"/>
      <c r="Q271" s="49"/>
      <c r="S271" s="49"/>
      <c r="U271" s="110"/>
      <c r="V271" s="217"/>
      <c r="W271" s="217"/>
      <c r="X271" s="217"/>
      <c r="Y271" s="217"/>
      <c r="Z271" s="217"/>
      <c r="AA271" s="217"/>
      <c r="AB271" s="217"/>
      <c r="AC271" s="217"/>
      <c r="AD271" s="217"/>
      <c r="AE271" s="217"/>
      <c r="AF271" s="217"/>
      <c r="AG271" s="217"/>
      <c r="AH271" s="217"/>
      <c r="AI271" s="217"/>
      <c r="AJ271" s="217"/>
      <c r="AK271" s="217"/>
      <c r="AL271" s="49"/>
      <c r="AM271" s="49"/>
      <c r="AN271" s="49"/>
      <c r="AO271" s="49"/>
    </row>
    <row r="272" spans="11:41" ht="13.5" customHeight="1">
      <c r="K272" s="49"/>
      <c r="L272" s="49"/>
      <c r="M272" s="49"/>
      <c r="N272" s="49"/>
      <c r="O272" s="49"/>
      <c r="P272" s="49"/>
      <c r="Q272" s="49"/>
      <c r="S272" s="49"/>
      <c r="U272" s="110"/>
      <c r="V272" s="217"/>
      <c r="W272" s="217"/>
      <c r="X272" s="217"/>
      <c r="Y272" s="217"/>
      <c r="Z272" s="217"/>
      <c r="AA272" s="217"/>
      <c r="AB272" s="217"/>
      <c r="AC272" s="217"/>
      <c r="AD272" s="217"/>
      <c r="AE272" s="217"/>
      <c r="AF272" s="217"/>
      <c r="AG272" s="217"/>
      <c r="AH272" s="217"/>
      <c r="AI272" s="217"/>
      <c r="AJ272" s="217"/>
      <c r="AK272" s="217"/>
      <c r="AL272" s="49"/>
      <c r="AM272" s="49"/>
      <c r="AN272" s="49"/>
      <c r="AO272" s="49"/>
    </row>
    <row r="273" spans="11:41" ht="13.5" customHeight="1">
      <c r="K273" s="49"/>
      <c r="L273" s="49"/>
      <c r="M273" s="49"/>
      <c r="N273" s="49"/>
      <c r="O273" s="49"/>
      <c r="P273" s="49"/>
      <c r="Q273" s="49"/>
      <c r="S273" s="49"/>
      <c r="U273" s="110"/>
      <c r="V273" s="217"/>
      <c r="W273" s="217"/>
      <c r="X273" s="217"/>
      <c r="Y273" s="217"/>
      <c r="Z273" s="217"/>
      <c r="AA273" s="217"/>
      <c r="AB273" s="217"/>
      <c r="AC273" s="217"/>
      <c r="AD273" s="217"/>
      <c r="AE273" s="217"/>
      <c r="AF273" s="217"/>
      <c r="AG273" s="217"/>
      <c r="AH273" s="217"/>
      <c r="AI273" s="217"/>
      <c r="AJ273" s="217"/>
      <c r="AK273" s="217"/>
      <c r="AL273" s="49"/>
      <c r="AM273" s="49"/>
      <c r="AN273" s="49"/>
      <c r="AO273" s="49"/>
    </row>
    <row r="274" spans="11:41" ht="13.5" customHeight="1">
      <c r="K274" s="49"/>
      <c r="L274" s="49"/>
      <c r="M274" s="49"/>
      <c r="N274" s="49"/>
      <c r="O274" s="49"/>
      <c r="P274" s="49"/>
      <c r="Q274" s="49"/>
      <c r="S274" s="49"/>
      <c r="U274" s="110"/>
      <c r="V274" s="217"/>
      <c r="W274" s="217"/>
      <c r="X274" s="217"/>
      <c r="Y274" s="217"/>
      <c r="Z274" s="217"/>
      <c r="AA274" s="217"/>
      <c r="AB274" s="217"/>
      <c r="AC274" s="217"/>
      <c r="AD274" s="217"/>
      <c r="AE274" s="217"/>
      <c r="AF274" s="217"/>
      <c r="AG274" s="217"/>
      <c r="AH274" s="217"/>
      <c r="AI274" s="217"/>
      <c r="AJ274" s="217"/>
      <c r="AK274" s="217"/>
      <c r="AL274" s="49"/>
      <c r="AM274" s="49"/>
      <c r="AN274" s="49"/>
      <c r="AO274" s="49"/>
    </row>
    <row r="275" spans="11:41" ht="13.5" customHeight="1">
      <c r="K275" s="49"/>
      <c r="L275" s="49"/>
      <c r="M275" s="49"/>
      <c r="N275" s="49"/>
      <c r="O275" s="49"/>
      <c r="P275" s="49"/>
      <c r="Q275" s="49"/>
      <c r="S275" s="49"/>
      <c r="U275" s="110"/>
      <c r="V275" s="217"/>
      <c r="W275" s="217"/>
      <c r="X275" s="217"/>
      <c r="Y275" s="217"/>
      <c r="Z275" s="217"/>
      <c r="AA275" s="217"/>
      <c r="AB275" s="217"/>
      <c r="AC275" s="217"/>
      <c r="AD275" s="217"/>
      <c r="AE275" s="217"/>
      <c r="AF275" s="217"/>
      <c r="AG275" s="217"/>
      <c r="AH275" s="217"/>
      <c r="AI275" s="217"/>
      <c r="AJ275" s="217"/>
      <c r="AK275" s="217"/>
      <c r="AL275" s="49"/>
      <c r="AM275" s="49"/>
      <c r="AN275" s="49"/>
      <c r="AO275" s="49"/>
    </row>
    <row r="276" spans="11:41" ht="13.5" customHeight="1">
      <c r="K276" s="49"/>
      <c r="L276" s="49"/>
      <c r="M276" s="49"/>
      <c r="N276" s="49"/>
      <c r="O276" s="49"/>
      <c r="P276" s="49"/>
      <c r="Q276" s="49"/>
      <c r="S276" s="49"/>
      <c r="U276" s="110"/>
      <c r="V276" s="217"/>
      <c r="W276" s="217"/>
      <c r="X276" s="217"/>
      <c r="Y276" s="217"/>
      <c r="Z276" s="217"/>
      <c r="AA276" s="217"/>
      <c r="AB276" s="217"/>
      <c r="AC276" s="217"/>
      <c r="AD276" s="217"/>
      <c r="AE276" s="217"/>
      <c r="AF276" s="217"/>
      <c r="AG276" s="217"/>
      <c r="AH276" s="217"/>
      <c r="AI276" s="217"/>
      <c r="AJ276" s="217"/>
      <c r="AK276" s="217"/>
      <c r="AL276" s="49"/>
      <c r="AM276" s="49"/>
      <c r="AN276" s="49"/>
      <c r="AO276" s="49"/>
    </row>
    <row r="277" spans="11:41" ht="13.5" customHeight="1">
      <c r="K277" s="49"/>
      <c r="L277" s="49"/>
      <c r="M277" s="49"/>
      <c r="N277" s="49"/>
      <c r="O277" s="49"/>
      <c r="P277" s="49"/>
      <c r="Q277" s="49"/>
      <c r="S277" s="49"/>
      <c r="U277" s="110"/>
      <c r="V277" s="217"/>
      <c r="W277" s="217"/>
      <c r="X277" s="217"/>
      <c r="Y277" s="217"/>
      <c r="Z277" s="217"/>
      <c r="AA277" s="217"/>
      <c r="AB277" s="217"/>
      <c r="AC277" s="217"/>
      <c r="AD277" s="217"/>
      <c r="AE277" s="217"/>
      <c r="AF277" s="217"/>
      <c r="AG277" s="217"/>
      <c r="AH277" s="217"/>
      <c r="AI277" s="217"/>
      <c r="AJ277" s="217"/>
      <c r="AK277" s="217"/>
      <c r="AL277" s="49"/>
      <c r="AM277" s="49"/>
      <c r="AN277" s="49"/>
      <c r="AO277" s="49"/>
    </row>
    <row r="278" spans="11:41" ht="13.5" customHeight="1">
      <c r="K278" s="49"/>
      <c r="L278" s="49"/>
      <c r="M278" s="49"/>
      <c r="N278" s="49"/>
      <c r="O278" s="49"/>
      <c r="P278" s="49"/>
      <c r="Q278" s="49"/>
      <c r="S278" s="49"/>
      <c r="U278" s="110"/>
      <c r="V278" s="217"/>
      <c r="W278" s="217"/>
      <c r="X278" s="217"/>
      <c r="Y278" s="217"/>
      <c r="Z278" s="217"/>
      <c r="AA278" s="217"/>
      <c r="AB278" s="217"/>
      <c r="AC278" s="217"/>
      <c r="AD278" s="217"/>
      <c r="AE278" s="217"/>
      <c r="AF278" s="217"/>
      <c r="AG278" s="217"/>
      <c r="AH278" s="217"/>
      <c r="AI278" s="217"/>
      <c r="AJ278" s="217"/>
      <c r="AK278" s="217"/>
      <c r="AL278" s="49"/>
      <c r="AM278" s="49"/>
      <c r="AN278" s="49"/>
      <c r="AO278" s="49"/>
    </row>
    <row r="279" spans="11:41" ht="13.5" customHeight="1">
      <c r="K279" s="49"/>
      <c r="L279" s="49"/>
      <c r="M279" s="49"/>
      <c r="N279" s="49"/>
      <c r="O279" s="49"/>
      <c r="P279" s="49"/>
      <c r="Q279" s="49"/>
      <c r="S279" s="49"/>
      <c r="U279" s="110"/>
      <c r="V279" s="217"/>
      <c r="W279" s="217"/>
      <c r="X279" s="217"/>
      <c r="Y279" s="217"/>
      <c r="Z279" s="217"/>
      <c r="AA279" s="217"/>
      <c r="AB279" s="217"/>
      <c r="AC279" s="217"/>
      <c r="AD279" s="217"/>
      <c r="AE279" s="217"/>
      <c r="AF279" s="217"/>
      <c r="AG279" s="217"/>
      <c r="AH279" s="217"/>
      <c r="AI279" s="217"/>
      <c r="AJ279" s="217"/>
      <c r="AK279" s="217"/>
      <c r="AL279" s="49"/>
      <c r="AM279" s="49"/>
      <c r="AN279" s="49"/>
      <c r="AO279" s="49"/>
    </row>
    <row r="280" spans="11:41" ht="13.5" customHeight="1">
      <c r="K280" s="49"/>
      <c r="L280" s="49"/>
      <c r="M280" s="49"/>
      <c r="N280" s="49"/>
      <c r="O280" s="49"/>
      <c r="P280" s="49"/>
      <c r="Q280" s="49"/>
      <c r="S280" s="49"/>
      <c r="U280" s="110"/>
      <c r="V280" s="217"/>
      <c r="W280" s="217"/>
      <c r="X280" s="217"/>
      <c r="Y280" s="217"/>
      <c r="Z280" s="217"/>
      <c r="AA280" s="217"/>
      <c r="AB280" s="217"/>
      <c r="AC280" s="217"/>
      <c r="AD280" s="217"/>
      <c r="AE280" s="217"/>
      <c r="AF280" s="217"/>
      <c r="AG280" s="217"/>
      <c r="AH280" s="217"/>
      <c r="AI280" s="217"/>
      <c r="AJ280" s="217"/>
      <c r="AK280" s="217"/>
      <c r="AL280" s="49"/>
      <c r="AM280" s="49"/>
      <c r="AN280" s="49"/>
      <c r="AO280" s="49"/>
    </row>
    <row r="281" spans="11:41" ht="13.5" customHeight="1">
      <c r="K281" s="49"/>
      <c r="L281" s="49"/>
      <c r="M281" s="49"/>
      <c r="N281" s="49"/>
      <c r="O281" s="49"/>
      <c r="P281" s="49"/>
      <c r="Q281" s="49"/>
      <c r="S281" s="49"/>
      <c r="U281" s="110"/>
      <c r="V281" s="217"/>
      <c r="W281" s="217"/>
      <c r="X281" s="217"/>
      <c r="Y281" s="217"/>
      <c r="Z281" s="217"/>
      <c r="AA281" s="217"/>
      <c r="AB281" s="217"/>
      <c r="AC281" s="217"/>
      <c r="AD281" s="217"/>
      <c r="AE281" s="217"/>
      <c r="AF281" s="217"/>
      <c r="AG281" s="217"/>
      <c r="AH281" s="217"/>
      <c r="AI281" s="217"/>
      <c r="AJ281" s="217"/>
      <c r="AK281" s="217"/>
      <c r="AL281" s="49"/>
      <c r="AM281" s="49"/>
      <c r="AN281" s="49"/>
      <c r="AO281" s="49"/>
    </row>
    <row r="282" spans="11:41" ht="13.5" customHeight="1">
      <c r="K282" s="49"/>
      <c r="L282" s="49"/>
      <c r="M282" s="49"/>
      <c r="N282" s="49"/>
      <c r="O282" s="49"/>
      <c r="P282" s="49"/>
      <c r="Q282" s="49"/>
      <c r="S282" s="49"/>
      <c r="U282" s="110"/>
      <c r="V282" s="217"/>
      <c r="W282" s="217"/>
      <c r="X282" s="217"/>
      <c r="Y282" s="217"/>
      <c r="Z282" s="217"/>
      <c r="AA282" s="217"/>
      <c r="AB282" s="217"/>
      <c r="AC282" s="217"/>
      <c r="AD282" s="217"/>
      <c r="AE282" s="217"/>
      <c r="AF282" s="217"/>
      <c r="AG282" s="217"/>
      <c r="AH282" s="217"/>
      <c r="AI282" s="217"/>
      <c r="AJ282" s="217"/>
      <c r="AK282" s="217"/>
      <c r="AL282" s="49"/>
      <c r="AM282" s="49"/>
      <c r="AN282" s="49"/>
      <c r="AO282" s="49"/>
    </row>
    <row r="283" spans="11:41" ht="13.5" customHeight="1">
      <c r="K283" s="49"/>
      <c r="L283" s="49"/>
      <c r="M283" s="49"/>
      <c r="N283" s="49"/>
      <c r="O283" s="49"/>
      <c r="P283" s="49"/>
      <c r="Q283" s="49"/>
      <c r="S283" s="49"/>
      <c r="U283" s="110"/>
      <c r="V283" s="217"/>
      <c r="W283" s="217"/>
      <c r="X283" s="217"/>
      <c r="Y283" s="217"/>
      <c r="Z283" s="217"/>
      <c r="AA283" s="217"/>
      <c r="AB283" s="217"/>
      <c r="AC283" s="217"/>
      <c r="AD283" s="217"/>
      <c r="AE283" s="217"/>
      <c r="AF283" s="217"/>
      <c r="AG283" s="217"/>
      <c r="AH283" s="217"/>
      <c r="AI283" s="217"/>
      <c r="AJ283" s="217"/>
      <c r="AK283" s="217"/>
      <c r="AL283" s="49"/>
      <c r="AM283" s="49"/>
      <c r="AN283" s="49"/>
      <c r="AO283" s="49"/>
    </row>
    <row r="284" spans="11:41" ht="13.5" customHeight="1">
      <c r="K284" s="49"/>
      <c r="L284" s="49"/>
      <c r="M284" s="49"/>
      <c r="N284" s="49"/>
      <c r="O284" s="49"/>
      <c r="P284" s="49"/>
      <c r="Q284" s="49"/>
      <c r="S284" s="49"/>
      <c r="U284" s="110"/>
      <c r="V284" s="217"/>
      <c r="W284" s="217"/>
      <c r="X284" s="217"/>
      <c r="Y284" s="217"/>
      <c r="Z284" s="217"/>
      <c r="AA284" s="217"/>
      <c r="AB284" s="217"/>
      <c r="AC284" s="217"/>
      <c r="AD284" s="217"/>
      <c r="AE284" s="217"/>
      <c r="AF284" s="217"/>
      <c r="AG284" s="217"/>
      <c r="AH284" s="217"/>
      <c r="AI284" s="217"/>
      <c r="AJ284" s="217"/>
      <c r="AK284" s="217"/>
      <c r="AL284" s="49"/>
      <c r="AM284" s="49"/>
      <c r="AN284" s="49"/>
      <c r="AO284" s="49"/>
    </row>
    <row r="285" spans="11:41" ht="13.5" customHeight="1">
      <c r="K285" s="49"/>
      <c r="L285" s="49"/>
      <c r="M285" s="49"/>
      <c r="N285" s="49"/>
      <c r="O285" s="49"/>
      <c r="P285" s="49"/>
      <c r="Q285" s="49"/>
      <c r="S285" s="49"/>
      <c r="U285" s="110"/>
      <c r="V285" s="217"/>
      <c r="W285" s="217"/>
      <c r="X285" s="217"/>
      <c r="Y285" s="217"/>
      <c r="Z285" s="217"/>
      <c r="AA285" s="217"/>
      <c r="AB285" s="217"/>
      <c r="AC285" s="217"/>
      <c r="AD285" s="217"/>
      <c r="AE285" s="217"/>
      <c r="AF285" s="217"/>
      <c r="AG285" s="217"/>
      <c r="AH285" s="217"/>
      <c r="AI285" s="217"/>
      <c r="AJ285" s="217"/>
      <c r="AK285" s="217"/>
      <c r="AL285" s="49"/>
      <c r="AM285" s="49"/>
      <c r="AN285" s="49"/>
      <c r="AO285" s="49"/>
    </row>
    <row r="286" spans="11:41" ht="13.5" customHeight="1">
      <c r="K286" s="49"/>
      <c r="L286" s="49"/>
      <c r="M286" s="49"/>
      <c r="N286" s="49"/>
      <c r="O286" s="49"/>
      <c r="P286" s="49"/>
      <c r="Q286" s="49"/>
      <c r="S286" s="49"/>
      <c r="U286" s="110"/>
      <c r="V286" s="217"/>
      <c r="W286" s="217"/>
      <c r="X286" s="217"/>
      <c r="Y286" s="217"/>
      <c r="Z286" s="217"/>
      <c r="AA286" s="217"/>
      <c r="AB286" s="217"/>
      <c r="AC286" s="217"/>
      <c r="AD286" s="217"/>
      <c r="AE286" s="217"/>
      <c r="AF286" s="217"/>
      <c r="AG286" s="217"/>
      <c r="AH286" s="217"/>
      <c r="AI286" s="217"/>
      <c r="AJ286" s="217"/>
      <c r="AK286" s="217"/>
      <c r="AL286" s="49"/>
      <c r="AM286" s="49"/>
      <c r="AN286" s="49"/>
      <c r="AO286" s="49"/>
    </row>
    <row r="287" spans="11:41" ht="13.5" customHeight="1">
      <c r="K287" s="49"/>
      <c r="L287" s="49"/>
      <c r="M287" s="49"/>
      <c r="N287" s="49"/>
      <c r="O287" s="49"/>
      <c r="P287" s="49"/>
      <c r="Q287" s="49"/>
      <c r="S287" s="49"/>
      <c r="U287" s="110"/>
      <c r="V287" s="217"/>
      <c r="W287" s="217"/>
      <c r="X287" s="217"/>
      <c r="Y287" s="217"/>
      <c r="Z287" s="217"/>
      <c r="AA287" s="217"/>
      <c r="AB287" s="217"/>
      <c r="AC287" s="217"/>
      <c r="AD287" s="217"/>
      <c r="AE287" s="217"/>
      <c r="AF287" s="217"/>
      <c r="AG287" s="217"/>
      <c r="AH287" s="217"/>
      <c r="AI287" s="217"/>
      <c r="AJ287" s="217"/>
      <c r="AK287" s="217"/>
      <c r="AL287" s="49"/>
      <c r="AM287" s="49"/>
      <c r="AN287" s="49"/>
      <c r="AO287" s="49"/>
    </row>
    <row r="288" spans="11:41" ht="13.5" customHeight="1">
      <c r="K288" s="49"/>
      <c r="L288" s="49"/>
      <c r="M288" s="49"/>
      <c r="N288" s="49"/>
      <c r="O288" s="49"/>
      <c r="P288" s="49"/>
      <c r="Q288" s="49"/>
      <c r="S288" s="49"/>
      <c r="U288" s="110"/>
      <c r="V288" s="217"/>
      <c r="W288" s="217"/>
      <c r="X288" s="217"/>
      <c r="Y288" s="217"/>
      <c r="Z288" s="217"/>
      <c r="AA288" s="217"/>
      <c r="AB288" s="217"/>
      <c r="AC288" s="217"/>
      <c r="AD288" s="217"/>
      <c r="AE288" s="217"/>
      <c r="AF288" s="217"/>
      <c r="AG288" s="217"/>
      <c r="AH288" s="217"/>
      <c r="AI288" s="217"/>
      <c r="AJ288" s="217"/>
      <c r="AK288" s="217"/>
      <c r="AL288" s="49"/>
      <c r="AM288" s="49"/>
      <c r="AN288" s="49"/>
      <c r="AO288" s="49"/>
    </row>
    <row r="289" spans="11:41" ht="13.5" customHeight="1">
      <c r="K289" s="49"/>
      <c r="L289" s="49"/>
      <c r="M289" s="49"/>
      <c r="N289" s="49"/>
      <c r="O289" s="49"/>
      <c r="P289" s="49"/>
      <c r="Q289" s="49"/>
      <c r="S289" s="49"/>
      <c r="U289" s="110"/>
      <c r="V289" s="217"/>
      <c r="W289" s="217"/>
      <c r="X289" s="217"/>
      <c r="Y289" s="217"/>
      <c r="Z289" s="217"/>
      <c r="AA289" s="217"/>
      <c r="AB289" s="217"/>
      <c r="AC289" s="217"/>
      <c r="AD289" s="217"/>
      <c r="AE289" s="217"/>
      <c r="AF289" s="217"/>
      <c r="AG289" s="217"/>
      <c r="AH289" s="217"/>
      <c r="AI289" s="217"/>
      <c r="AJ289" s="217"/>
      <c r="AK289" s="217"/>
      <c r="AL289" s="49"/>
      <c r="AM289" s="49"/>
      <c r="AN289" s="49"/>
      <c r="AO289" s="49"/>
    </row>
    <row r="290" spans="11:41" ht="13.5" customHeight="1">
      <c r="K290" s="49"/>
      <c r="L290" s="49"/>
      <c r="M290" s="49"/>
      <c r="N290" s="49"/>
      <c r="O290" s="49"/>
      <c r="P290" s="49"/>
      <c r="Q290" s="49"/>
      <c r="S290" s="49"/>
      <c r="U290" s="110"/>
      <c r="V290" s="217"/>
      <c r="W290" s="217"/>
      <c r="X290" s="217"/>
      <c r="Y290" s="217"/>
      <c r="Z290" s="217"/>
      <c r="AA290" s="217"/>
      <c r="AB290" s="217"/>
      <c r="AC290" s="217"/>
      <c r="AD290" s="217"/>
      <c r="AE290" s="217"/>
      <c r="AF290" s="217"/>
      <c r="AG290" s="217"/>
      <c r="AH290" s="217"/>
      <c r="AI290" s="217"/>
      <c r="AJ290" s="217"/>
      <c r="AK290" s="217"/>
      <c r="AL290" s="49"/>
      <c r="AM290" s="49"/>
      <c r="AN290" s="49"/>
      <c r="AO290" s="49"/>
    </row>
    <row r="291" spans="11:41" ht="13.5" customHeight="1">
      <c r="K291" s="49"/>
      <c r="L291" s="49"/>
      <c r="M291" s="49"/>
      <c r="N291" s="49"/>
      <c r="O291" s="49"/>
      <c r="P291" s="49"/>
      <c r="Q291" s="49"/>
      <c r="S291" s="49"/>
      <c r="U291" s="110"/>
      <c r="V291" s="217"/>
      <c r="W291" s="217"/>
      <c r="X291" s="217"/>
      <c r="Y291" s="217"/>
      <c r="Z291" s="217"/>
      <c r="AA291" s="217"/>
      <c r="AB291" s="217"/>
      <c r="AC291" s="217"/>
      <c r="AD291" s="217"/>
      <c r="AE291" s="217"/>
      <c r="AF291" s="217"/>
      <c r="AG291" s="217"/>
      <c r="AH291" s="217"/>
      <c r="AI291" s="217"/>
      <c r="AJ291" s="217"/>
      <c r="AK291" s="217"/>
      <c r="AL291" s="49"/>
      <c r="AM291" s="49"/>
      <c r="AN291" s="49"/>
      <c r="AO291" s="49"/>
    </row>
    <row r="292" spans="11:41" ht="13.5" customHeight="1">
      <c r="K292" s="49"/>
      <c r="L292" s="49"/>
      <c r="M292" s="49"/>
      <c r="N292" s="49"/>
      <c r="O292" s="49"/>
      <c r="P292" s="49"/>
      <c r="Q292" s="49"/>
      <c r="S292" s="49"/>
      <c r="U292" s="110"/>
      <c r="V292" s="217"/>
      <c r="W292" s="217"/>
      <c r="X292" s="217"/>
      <c r="Y292" s="217"/>
      <c r="Z292" s="217"/>
      <c r="AA292" s="217"/>
      <c r="AB292" s="217"/>
      <c r="AC292" s="217"/>
      <c r="AD292" s="217"/>
      <c r="AE292" s="217"/>
      <c r="AF292" s="217"/>
      <c r="AG292" s="217"/>
      <c r="AH292" s="217"/>
      <c r="AI292" s="217"/>
      <c r="AJ292" s="217"/>
      <c r="AK292" s="217"/>
      <c r="AL292" s="49"/>
      <c r="AM292" s="49"/>
      <c r="AN292" s="49"/>
      <c r="AO292" s="49"/>
    </row>
    <row r="293" spans="11:41" ht="13.5" customHeight="1">
      <c r="K293" s="49"/>
      <c r="L293" s="49"/>
      <c r="M293" s="49"/>
      <c r="N293" s="49"/>
      <c r="O293" s="49"/>
      <c r="P293" s="49"/>
      <c r="Q293" s="49"/>
      <c r="S293" s="49"/>
      <c r="U293" s="110"/>
      <c r="V293" s="217"/>
      <c r="W293" s="217"/>
      <c r="X293" s="217"/>
      <c r="Y293" s="217"/>
      <c r="Z293" s="217"/>
      <c r="AA293" s="217"/>
      <c r="AB293" s="217"/>
      <c r="AC293" s="217"/>
      <c r="AD293" s="217"/>
      <c r="AE293" s="217"/>
      <c r="AF293" s="217"/>
      <c r="AG293" s="217"/>
      <c r="AH293" s="217"/>
      <c r="AI293" s="217"/>
      <c r="AJ293" s="217"/>
      <c r="AK293" s="217"/>
      <c r="AL293" s="49"/>
      <c r="AM293" s="49"/>
      <c r="AN293" s="49"/>
      <c r="AO293" s="49"/>
    </row>
    <row r="294" spans="11:41" ht="13.5" customHeight="1">
      <c r="K294" s="49"/>
      <c r="L294" s="49"/>
      <c r="M294" s="49"/>
      <c r="N294" s="49"/>
      <c r="O294" s="49"/>
      <c r="P294" s="49"/>
      <c r="Q294" s="49"/>
      <c r="S294" s="49"/>
      <c r="U294" s="110"/>
      <c r="V294" s="217"/>
      <c r="W294" s="217"/>
      <c r="X294" s="217"/>
      <c r="Y294" s="217"/>
      <c r="Z294" s="217"/>
      <c r="AA294" s="217"/>
      <c r="AB294" s="217"/>
      <c r="AC294" s="217"/>
      <c r="AD294" s="217"/>
      <c r="AE294" s="217"/>
      <c r="AF294" s="217"/>
      <c r="AG294" s="217"/>
      <c r="AH294" s="217"/>
      <c r="AI294" s="217"/>
      <c r="AJ294" s="217"/>
      <c r="AK294" s="217"/>
      <c r="AL294" s="49"/>
      <c r="AM294" s="49"/>
      <c r="AN294" s="49"/>
      <c r="AO294" s="49"/>
    </row>
    <row r="295" spans="11:41" ht="13.5" customHeight="1">
      <c r="K295" s="49"/>
      <c r="L295" s="49"/>
      <c r="M295" s="49"/>
      <c r="N295" s="49"/>
      <c r="O295" s="49"/>
      <c r="P295" s="49"/>
      <c r="Q295" s="49"/>
      <c r="S295" s="49"/>
      <c r="U295" s="110"/>
      <c r="V295" s="217"/>
      <c r="W295" s="217"/>
      <c r="X295" s="217"/>
      <c r="Y295" s="217"/>
      <c r="Z295" s="217"/>
      <c r="AA295" s="217"/>
      <c r="AB295" s="217"/>
      <c r="AC295" s="217"/>
      <c r="AD295" s="217"/>
      <c r="AE295" s="217"/>
      <c r="AF295" s="217"/>
      <c r="AG295" s="217"/>
      <c r="AH295" s="217"/>
      <c r="AI295" s="217"/>
      <c r="AJ295" s="217"/>
      <c r="AK295" s="217"/>
      <c r="AL295" s="49"/>
      <c r="AM295" s="49"/>
      <c r="AN295" s="49"/>
      <c r="AO295" s="49"/>
    </row>
    <row r="296" spans="11:41" ht="13.5" customHeight="1">
      <c r="K296" s="49"/>
      <c r="L296" s="49"/>
      <c r="M296" s="49"/>
      <c r="N296" s="49"/>
      <c r="O296" s="49"/>
      <c r="P296" s="49"/>
      <c r="Q296" s="49"/>
      <c r="S296" s="49"/>
      <c r="U296" s="110"/>
      <c r="V296" s="217"/>
      <c r="W296" s="217"/>
      <c r="X296" s="217"/>
      <c r="Y296" s="217"/>
      <c r="Z296" s="217"/>
      <c r="AA296" s="217"/>
      <c r="AB296" s="217"/>
      <c r="AC296" s="217"/>
      <c r="AD296" s="217"/>
      <c r="AE296" s="217"/>
      <c r="AF296" s="217"/>
      <c r="AG296" s="217"/>
      <c r="AH296" s="217"/>
      <c r="AI296" s="217"/>
      <c r="AJ296" s="217"/>
      <c r="AK296" s="217"/>
      <c r="AL296" s="49"/>
      <c r="AM296" s="49"/>
      <c r="AN296" s="49"/>
      <c r="AO296" s="49"/>
    </row>
    <row r="297" spans="11:41" ht="13.5" customHeight="1">
      <c r="K297" s="49"/>
      <c r="L297" s="49"/>
      <c r="M297" s="49"/>
      <c r="N297" s="49"/>
      <c r="O297" s="49"/>
      <c r="P297" s="49"/>
      <c r="Q297" s="49"/>
      <c r="S297" s="49"/>
      <c r="U297" s="110"/>
      <c r="V297" s="217"/>
      <c r="W297" s="217"/>
      <c r="X297" s="217"/>
      <c r="Y297" s="217"/>
      <c r="Z297" s="217"/>
      <c r="AA297" s="217"/>
      <c r="AB297" s="217"/>
      <c r="AC297" s="217"/>
      <c r="AD297" s="217"/>
      <c r="AE297" s="217"/>
      <c r="AF297" s="217"/>
      <c r="AG297" s="217"/>
      <c r="AH297" s="217"/>
      <c r="AI297" s="217"/>
      <c r="AJ297" s="217"/>
      <c r="AK297" s="217"/>
      <c r="AL297" s="49"/>
      <c r="AM297" s="49"/>
      <c r="AN297" s="49"/>
      <c r="AO297" s="49"/>
    </row>
    <row r="298" spans="11:41" ht="13.5" customHeight="1">
      <c r="K298" s="49"/>
      <c r="L298" s="49"/>
      <c r="M298" s="49"/>
      <c r="N298" s="49"/>
      <c r="O298" s="49"/>
      <c r="P298" s="49"/>
      <c r="Q298" s="49"/>
      <c r="S298" s="49"/>
      <c r="U298" s="110"/>
      <c r="V298" s="217"/>
      <c r="W298" s="217"/>
      <c r="X298" s="217"/>
      <c r="Y298" s="217"/>
      <c r="Z298" s="217"/>
      <c r="AA298" s="217"/>
      <c r="AB298" s="217"/>
      <c r="AC298" s="217"/>
      <c r="AD298" s="217"/>
      <c r="AE298" s="217"/>
      <c r="AF298" s="217"/>
      <c r="AG298" s="217"/>
      <c r="AH298" s="217"/>
      <c r="AI298" s="217"/>
      <c r="AJ298" s="217"/>
      <c r="AK298" s="217"/>
      <c r="AL298" s="49"/>
      <c r="AM298" s="49"/>
      <c r="AN298" s="49"/>
      <c r="AO298" s="49"/>
    </row>
    <row r="299" spans="11:41" ht="13.5" customHeight="1">
      <c r="K299" s="49"/>
      <c r="L299" s="49"/>
      <c r="M299" s="49"/>
      <c r="N299" s="49"/>
      <c r="O299" s="49"/>
      <c r="P299" s="49"/>
      <c r="Q299" s="49"/>
      <c r="S299" s="49"/>
      <c r="U299" s="110"/>
      <c r="V299" s="217"/>
      <c r="W299" s="217"/>
      <c r="X299" s="217"/>
      <c r="Y299" s="217"/>
      <c r="Z299" s="217"/>
      <c r="AA299" s="217"/>
      <c r="AB299" s="217"/>
      <c r="AC299" s="217"/>
      <c r="AD299" s="217"/>
      <c r="AE299" s="217"/>
      <c r="AF299" s="217"/>
      <c r="AG299" s="217"/>
      <c r="AH299" s="217"/>
      <c r="AI299" s="217"/>
      <c r="AJ299" s="217"/>
      <c r="AK299" s="217"/>
      <c r="AL299" s="49"/>
      <c r="AM299" s="49"/>
      <c r="AN299" s="49"/>
      <c r="AO299" s="49"/>
    </row>
    <row r="300" spans="11:41" ht="13.5" customHeight="1">
      <c r="K300" s="49"/>
      <c r="L300" s="49"/>
      <c r="M300" s="49"/>
      <c r="N300" s="49"/>
      <c r="O300" s="49"/>
      <c r="P300" s="49"/>
      <c r="Q300" s="49"/>
      <c r="S300" s="49"/>
      <c r="U300" s="110"/>
      <c r="V300" s="217"/>
      <c r="W300" s="217"/>
      <c r="X300" s="217"/>
      <c r="Y300" s="217"/>
      <c r="Z300" s="217"/>
      <c r="AA300" s="217"/>
      <c r="AB300" s="217"/>
      <c r="AC300" s="217"/>
      <c r="AD300" s="217"/>
      <c r="AE300" s="217"/>
      <c r="AF300" s="217"/>
      <c r="AG300" s="217"/>
      <c r="AH300" s="217"/>
      <c r="AI300" s="217"/>
      <c r="AJ300" s="217"/>
      <c r="AK300" s="217"/>
      <c r="AL300" s="49"/>
      <c r="AM300" s="49"/>
      <c r="AN300" s="49"/>
      <c r="AO300" s="49"/>
    </row>
    <row r="301" spans="11:41" ht="13.5" customHeight="1">
      <c r="K301" s="49"/>
      <c r="L301" s="49"/>
      <c r="M301" s="49"/>
      <c r="N301" s="49"/>
      <c r="O301" s="49"/>
      <c r="P301" s="49"/>
      <c r="Q301" s="49"/>
      <c r="S301" s="49"/>
      <c r="U301" s="110"/>
      <c r="V301" s="217"/>
      <c r="W301" s="217"/>
      <c r="X301" s="217"/>
      <c r="Y301" s="217"/>
      <c r="Z301" s="217"/>
      <c r="AA301" s="217"/>
      <c r="AB301" s="217"/>
      <c r="AC301" s="217"/>
      <c r="AD301" s="217"/>
      <c r="AE301" s="217"/>
      <c r="AF301" s="217"/>
      <c r="AG301" s="217"/>
      <c r="AH301" s="217"/>
      <c r="AI301" s="217"/>
      <c r="AJ301" s="217"/>
      <c r="AK301" s="217"/>
      <c r="AL301" s="49"/>
      <c r="AM301" s="49"/>
      <c r="AN301" s="49"/>
      <c r="AO301" s="49"/>
    </row>
    <row r="302" spans="11:41" ht="13.5" customHeight="1">
      <c r="K302" s="49"/>
      <c r="L302" s="49"/>
      <c r="M302" s="49"/>
      <c r="N302" s="49"/>
      <c r="O302" s="49"/>
      <c r="P302" s="49"/>
      <c r="Q302" s="49"/>
      <c r="S302" s="49"/>
      <c r="U302" s="110"/>
      <c r="V302" s="217"/>
      <c r="W302" s="217"/>
      <c r="X302" s="217"/>
      <c r="Y302" s="217"/>
      <c r="Z302" s="217"/>
      <c r="AA302" s="217"/>
      <c r="AB302" s="217"/>
      <c r="AC302" s="217"/>
      <c r="AD302" s="217"/>
      <c r="AE302" s="217"/>
      <c r="AF302" s="217"/>
      <c r="AG302" s="217"/>
      <c r="AH302" s="217"/>
      <c r="AI302" s="217"/>
      <c r="AJ302" s="217"/>
      <c r="AK302" s="217"/>
      <c r="AL302" s="49"/>
      <c r="AM302" s="49"/>
      <c r="AN302" s="49"/>
      <c r="AO302" s="49"/>
    </row>
    <row r="303" spans="11:41" ht="13.5" customHeight="1">
      <c r="K303" s="49"/>
      <c r="L303" s="49"/>
      <c r="M303" s="49"/>
      <c r="N303" s="49"/>
      <c r="O303" s="49"/>
      <c r="P303" s="49"/>
      <c r="Q303" s="49"/>
      <c r="S303" s="49"/>
      <c r="U303" s="110"/>
      <c r="V303" s="217"/>
      <c r="W303" s="217"/>
      <c r="X303" s="217"/>
      <c r="Y303" s="217"/>
      <c r="Z303" s="217"/>
      <c r="AA303" s="217"/>
      <c r="AB303" s="217"/>
      <c r="AC303" s="217"/>
      <c r="AD303" s="217"/>
      <c r="AE303" s="217"/>
      <c r="AF303" s="217"/>
      <c r="AG303" s="217"/>
      <c r="AH303" s="217"/>
      <c r="AI303" s="217"/>
      <c r="AJ303" s="217"/>
      <c r="AK303" s="217"/>
      <c r="AL303" s="49"/>
      <c r="AM303" s="49"/>
      <c r="AN303" s="49"/>
      <c r="AO303" s="49"/>
    </row>
    <row r="304" spans="11:41" ht="13.5" customHeight="1">
      <c r="K304" s="49"/>
      <c r="L304" s="49"/>
      <c r="M304" s="49"/>
      <c r="N304" s="49"/>
      <c r="O304" s="49"/>
      <c r="P304" s="49"/>
      <c r="Q304" s="49"/>
      <c r="S304" s="49"/>
      <c r="U304" s="110"/>
      <c r="V304" s="217"/>
      <c r="W304" s="217"/>
      <c r="X304" s="217"/>
      <c r="Y304" s="217"/>
      <c r="Z304" s="217"/>
      <c r="AA304" s="217"/>
      <c r="AB304" s="217"/>
      <c r="AC304" s="217"/>
      <c r="AD304" s="217"/>
      <c r="AE304" s="217"/>
      <c r="AF304" s="217"/>
      <c r="AG304" s="217"/>
      <c r="AH304" s="217"/>
      <c r="AI304" s="217"/>
      <c r="AJ304" s="217"/>
      <c r="AK304" s="217"/>
      <c r="AL304" s="49"/>
      <c r="AM304" s="49"/>
      <c r="AN304" s="49"/>
      <c r="AO304" s="49"/>
    </row>
    <row r="305" spans="11:41" ht="13.5" customHeight="1">
      <c r="K305" s="49"/>
      <c r="L305" s="49"/>
      <c r="M305" s="49"/>
      <c r="N305" s="49"/>
      <c r="O305" s="49"/>
      <c r="P305" s="49"/>
      <c r="Q305" s="49"/>
      <c r="S305" s="49"/>
      <c r="U305" s="110"/>
      <c r="V305" s="217"/>
      <c r="W305" s="217"/>
      <c r="X305" s="217"/>
      <c r="Y305" s="217"/>
      <c r="Z305" s="217"/>
      <c r="AA305" s="217"/>
      <c r="AB305" s="217"/>
      <c r="AC305" s="217"/>
      <c r="AD305" s="217"/>
      <c r="AE305" s="217"/>
      <c r="AF305" s="217"/>
      <c r="AG305" s="217"/>
      <c r="AH305" s="217"/>
      <c r="AI305" s="217"/>
      <c r="AJ305" s="217"/>
      <c r="AK305" s="217"/>
      <c r="AL305" s="49"/>
      <c r="AM305" s="49"/>
      <c r="AN305" s="49"/>
      <c r="AO305" s="49"/>
    </row>
    <row r="306" spans="11:41" ht="13.5" customHeight="1">
      <c r="K306" s="49"/>
      <c r="L306" s="49"/>
      <c r="M306" s="49"/>
      <c r="N306" s="49"/>
      <c r="O306" s="49"/>
      <c r="P306" s="49"/>
      <c r="Q306" s="49"/>
      <c r="S306" s="49"/>
      <c r="U306" s="110"/>
      <c r="V306" s="217"/>
      <c r="W306" s="217"/>
      <c r="X306" s="217"/>
      <c r="Y306" s="217"/>
      <c r="Z306" s="217"/>
      <c r="AA306" s="217"/>
      <c r="AB306" s="217"/>
      <c r="AC306" s="217"/>
      <c r="AD306" s="217"/>
      <c r="AE306" s="217"/>
      <c r="AF306" s="217"/>
      <c r="AG306" s="217"/>
      <c r="AH306" s="217"/>
      <c r="AI306" s="217"/>
      <c r="AJ306" s="217"/>
      <c r="AK306" s="217"/>
      <c r="AL306" s="49"/>
      <c r="AM306" s="49"/>
      <c r="AN306" s="49"/>
      <c r="AO306" s="49"/>
    </row>
    <row r="307" spans="11:41" ht="13.5" customHeight="1">
      <c r="K307" s="49"/>
      <c r="L307" s="49"/>
      <c r="M307" s="49"/>
      <c r="N307" s="49"/>
      <c r="O307" s="49"/>
      <c r="P307" s="49"/>
      <c r="Q307" s="49"/>
      <c r="S307" s="49"/>
      <c r="U307" s="110"/>
      <c r="V307" s="217"/>
      <c r="W307" s="217"/>
      <c r="X307" s="217"/>
      <c r="Y307" s="217"/>
      <c r="Z307" s="217"/>
      <c r="AA307" s="217"/>
      <c r="AB307" s="217"/>
      <c r="AC307" s="217"/>
      <c r="AD307" s="217"/>
      <c r="AE307" s="217"/>
      <c r="AF307" s="217"/>
      <c r="AG307" s="217"/>
      <c r="AH307" s="217"/>
      <c r="AI307" s="217"/>
      <c r="AJ307" s="217"/>
      <c r="AK307" s="217"/>
      <c r="AL307" s="49"/>
      <c r="AM307" s="49"/>
      <c r="AN307" s="49"/>
      <c r="AO307" s="49"/>
    </row>
    <row r="308" spans="11:41" ht="13.5" customHeight="1">
      <c r="K308" s="49"/>
      <c r="L308" s="49"/>
      <c r="M308" s="49"/>
      <c r="N308" s="49"/>
      <c r="O308" s="49"/>
      <c r="P308" s="49"/>
      <c r="Q308" s="49"/>
      <c r="S308" s="49"/>
      <c r="U308" s="110"/>
      <c r="V308" s="217"/>
      <c r="W308" s="217"/>
      <c r="X308" s="217"/>
      <c r="Y308" s="217"/>
      <c r="Z308" s="217"/>
      <c r="AA308" s="217"/>
      <c r="AB308" s="217"/>
      <c r="AC308" s="217"/>
      <c r="AD308" s="217"/>
      <c r="AE308" s="217"/>
      <c r="AF308" s="217"/>
      <c r="AG308" s="217"/>
      <c r="AH308" s="217"/>
      <c r="AI308" s="217"/>
      <c r="AJ308" s="217"/>
      <c r="AK308" s="217"/>
      <c r="AL308" s="49"/>
      <c r="AM308" s="49"/>
      <c r="AN308" s="49"/>
      <c r="AO308" s="49"/>
    </row>
    <row r="309" spans="11:41" ht="13.5" customHeight="1">
      <c r="K309" s="49"/>
      <c r="L309" s="49"/>
      <c r="M309" s="49"/>
      <c r="N309" s="49"/>
      <c r="O309" s="49"/>
      <c r="P309" s="49"/>
      <c r="Q309" s="49"/>
      <c r="S309" s="49"/>
      <c r="U309" s="110"/>
      <c r="V309" s="217"/>
      <c r="W309" s="217"/>
      <c r="X309" s="217"/>
      <c r="Y309" s="217"/>
      <c r="Z309" s="217"/>
      <c r="AA309" s="217"/>
      <c r="AB309" s="217"/>
      <c r="AC309" s="217"/>
      <c r="AD309" s="217"/>
      <c r="AE309" s="217"/>
      <c r="AF309" s="217"/>
      <c r="AG309" s="217"/>
      <c r="AH309" s="217"/>
      <c r="AI309" s="217"/>
      <c r="AJ309" s="217"/>
      <c r="AK309" s="217"/>
      <c r="AL309" s="49"/>
      <c r="AM309" s="49"/>
      <c r="AN309" s="49"/>
      <c r="AO309" s="49"/>
    </row>
    <row r="310" spans="11:41" ht="13.5" customHeight="1">
      <c r="K310" s="49"/>
      <c r="L310" s="49"/>
      <c r="M310" s="49"/>
      <c r="N310" s="49"/>
      <c r="O310" s="49"/>
      <c r="P310" s="49"/>
      <c r="Q310" s="49"/>
      <c r="S310" s="49"/>
      <c r="U310" s="110"/>
      <c r="V310" s="217"/>
      <c r="W310" s="217"/>
      <c r="X310" s="217"/>
      <c r="Y310" s="217"/>
      <c r="Z310" s="217"/>
      <c r="AA310" s="217"/>
      <c r="AB310" s="217"/>
      <c r="AC310" s="217"/>
      <c r="AD310" s="217"/>
      <c r="AE310" s="217"/>
      <c r="AF310" s="217"/>
      <c r="AG310" s="217"/>
      <c r="AH310" s="217"/>
      <c r="AI310" s="217"/>
      <c r="AJ310" s="217"/>
      <c r="AK310" s="217"/>
      <c r="AL310" s="49"/>
      <c r="AM310" s="49"/>
      <c r="AN310" s="49"/>
      <c r="AO310" s="49"/>
    </row>
    <row r="311" spans="11:41" ht="13.5" customHeight="1">
      <c r="K311" s="49"/>
      <c r="L311" s="49"/>
      <c r="M311" s="49"/>
      <c r="N311" s="49"/>
      <c r="O311" s="49"/>
      <c r="P311" s="49"/>
      <c r="Q311" s="49"/>
      <c r="S311" s="49"/>
      <c r="U311" s="110"/>
      <c r="V311" s="217"/>
      <c r="W311" s="217"/>
      <c r="X311" s="217"/>
      <c r="Y311" s="217"/>
      <c r="Z311" s="217"/>
      <c r="AA311" s="217"/>
      <c r="AB311" s="217"/>
      <c r="AC311" s="217"/>
      <c r="AD311" s="217"/>
      <c r="AE311" s="217"/>
      <c r="AF311" s="217"/>
      <c r="AG311" s="217"/>
      <c r="AH311" s="217"/>
      <c r="AI311" s="217"/>
      <c r="AJ311" s="217"/>
      <c r="AK311" s="217"/>
      <c r="AL311" s="49"/>
      <c r="AM311" s="49"/>
      <c r="AN311" s="49"/>
      <c r="AO311" s="49"/>
    </row>
    <row r="312" spans="11:41" ht="13.5" customHeight="1">
      <c r="K312" s="49"/>
      <c r="L312" s="49"/>
      <c r="M312" s="49"/>
      <c r="N312" s="49"/>
      <c r="O312" s="49"/>
      <c r="P312" s="49"/>
      <c r="Q312" s="49"/>
      <c r="S312" s="49"/>
      <c r="U312" s="110"/>
      <c r="V312" s="217"/>
      <c r="W312" s="217"/>
      <c r="X312" s="217"/>
      <c r="Y312" s="217"/>
      <c r="Z312" s="217"/>
      <c r="AA312" s="217"/>
      <c r="AB312" s="217"/>
      <c r="AC312" s="217"/>
      <c r="AD312" s="217"/>
      <c r="AE312" s="217"/>
      <c r="AF312" s="217"/>
      <c r="AG312" s="217"/>
      <c r="AH312" s="217"/>
      <c r="AI312" s="217"/>
      <c r="AJ312" s="217"/>
      <c r="AK312" s="217"/>
      <c r="AL312" s="49"/>
      <c r="AM312" s="49"/>
      <c r="AN312" s="49"/>
      <c r="AO312" s="49"/>
    </row>
    <row r="313" spans="11:41" ht="13.5" customHeight="1">
      <c r="K313" s="49"/>
      <c r="L313" s="49"/>
      <c r="M313" s="49"/>
      <c r="N313" s="49"/>
      <c r="O313" s="49"/>
      <c r="P313" s="49"/>
      <c r="Q313" s="49"/>
      <c r="S313" s="49"/>
      <c r="U313" s="110"/>
      <c r="V313" s="217"/>
      <c r="W313" s="217"/>
      <c r="X313" s="217"/>
      <c r="Y313" s="217"/>
      <c r="Z313" s="217"/>
      <c r="AA313" s="217"/>
      <c r="AB313" s="217"/>
      <c r="AC313" s="217"/>
      <c r="AD313" s="217"/>
      <c r="AE313" s="217"/>
      <c r="AF313" s="217"/>
      <c r="AG313" s="217"/>
      <c r="AH313" s="217"/>
      <c r="AI313" s="217"/>
      <c r="AJ313" s="217"/>
      <c r="AK313" s="217"/>
      <c r="AL313" s="49"/>
      <c r="AM313" s="49"/>
      <c r="AN313" s="49"/>
      <c r="AO313" s="49"/>
    </row>
    <row r="314" spans="11:41" ht="13.5" customHeight="1">
      <c r="K314" s="49"/>
      <c r="L314" s="49"/>
      <c r="M314" s="49"/>
      <c r="N314" s="49"/>
      <c r="O314" s="49"/>
      <c r="P314" s="49"/>
      <c r="Q314" s="49"/>
      <c r="S314" s="49"/>
      <c r="U314" s="110"/>
      <c r="V314" s="217"/>
      <c r="W314" s="217"/>
      <c r="X314" s="217"/>
      <c r="Y314" s="217"/>
      <c r="Z314" s="217"/>
      <c r="AA314" s="217"/>
      <c r="AB314" s="217"/>
      <c r="AC314" s="217"/>
      <c r="AD314" s="217"/>
      <c r="AE314" s="217"/>
      <c r="AF314" s="217"/>
      <c r="AG314" s="217"/>
      <c r="AH314" s="217"/>
      <c r="AI314" s="217"/>
      <c r="AJ314" s="217"/>
      <c r="AK314" s="217"/>
      <c r="AL314" s="49"/>
      <c r="AM314" s="49"/>
      <c r="AN314" s="49"/>
      <c r="AO314" s="49"/>
    </row>
    <row r="315" spans="11:41" ht="13.5" customHeight="1">
      <c r="K315" s="49"/>
      <c r="L315" s="49"/>
      <c r="M315" s="49"/>
      <c r="N315" s="49"/>
      <c r="O315" s="49"/>
      <c r="P315" s="49"/>
      <c r="Q315" s="49"/>
      <c r="S315" s="49"/>
      <c r="U315" s="110"/>
      <c r="V315" s="217"/>
      <c r="W315" s="217"/>
      <c r="X315" s="217"/>
      <c r="Y315" s="217"/>
      <c r="Z315" s="217"/>
      <c r="AA315" s="217"/>
      <c r="AB315" s="217"/>
      <c r="AC315" s="217"/>
      <c r="AD315" s="217"/>
      <c r="AE315" s="217"/>
      <c r="AF315" s="217"/>
      <c r="AG315" s="217"/>
      <c r="AH315" s="217"/>
      <c r="AI315" s="217"/>
      <c r="AJ315" s="217"/>
      <c r="AK315" s="217"/>
      <c r="AL315" s="49"/>
      <c r="AM315" s="49"/>
      <c r="AN315" s="49"/>
      <c r="AO315" s="49"/>
    </row>
    <row r="316" spans="11:41" ht="13.5" customHeight="1">
      <c r="K316" s="49"/>
      <c r="L316" s="49"/>
      <c r="M316" s="49"/>
      <c r="N316" s="49"/>
      <c r="O316" s="49"/>
      <c r="P316" s="49"/>
      <c r="Q316" s="49"/>
      <c r="S316" s="49"/>
      <c r="U316" s="110"/>
      <c r="V316" s="217"/>
      <c r="W316" s="217"/>
      <c r="X316" s="217"/>
      <c r="Y316" s="217"/>
      <c r="Z316" s="217"/>
      <c r="AA316" s="217"/>
      <c r="AB316" s="217"/>
      <c r="AC316" s="217"/>
      <c r="AD316" s="217"/>
      <c r="AE316" s="217"/>
      <c r="AF316" s="217"/>
      <c r="AG316" s="217"/>
      <c r="AH316" s="217"/>
      <c r="AI316" s="217"/>
      <c r="AJ316" s="217"/>
      <c r="AK316" s="217"/>
      <c r="AL316" s="49"/>
      <c r="AM316" s="49"/>
      <c r="AN316" s="49"/>
      <c r="AO316" s="49"/>
    </row>
    <row r="317" spans="11:41" ht="13.5" customHeight="1">
      <c r="K317" s="49"/>
      <c r="L317" s="49"/>
      <c r="M317" s="49"/>
      <c r="N317" s="49"/>
      <c r="O317" s="49"/>
      <c r="P317" s="49"/>
      <c r="Q317" s="49"/>
      <c r="S317" s="49"/>
      <c r="U317" s="110"/>
      <c r="V317" s="217"/>
      <c r="W317" s="217"/>
      <c r="X317" s="217"/>
      <c r="Y317" s="217"/>
      <c r="Z317" s="217"/>
      <c r="AA317" s="217"/>
      <c r="AB317" s="217"/>
      <c r="AC317" s="217"/>
      <c r="AD317" s="217"/>
      <c r="AE317" s="217"/>
      <c r="AF317" s="217"/>
      <c r="AG317" s="217"/>
      <c r="AH317" s="217"/>
      <c r="AI317" s="217"/>
      <c r="AJ317" s="217"/>
      <c r="AK317" s="217"/>
      <c r="AL317" s="49"/>
      <c r="AM317" s="49"/>
      <c r="AN317" s="49"/>
      <c r="AO317" s="49"/>
    </row>
    <row r="318" spans="11:41" ht="13.5" customHeight="1">
      <c r="K318" s="49"/>
      <c r="L318" s="49"/>
      <c r="M318" s="49"/>
      <c r="N318" s="49"/>
      <c r="O318" s="49"/>
      <c r="P318" s="49"/>
      <c r="Q318" s="49"/>
      <c r="S318" s="49"/>
      <c r="U318" s="110"/>
      <c r="V318" s="217"/>
      <c r="W318" s="217"/>
      <c r="X318" s="217"/>
      <c r="Y318" s="217"/>
      <c r="Z318" s="217"/>
      <c r="AA318" s="217"/>
      <c r="AB318" s="217"/>
      <c r="AC318" s="217"/>
      <c r="AD318" s="217"/>
      <c r="AE318" s="217"/>
      <c r="AF318" s="217"/>
      <c r="AG318" s="217"/>
      <c r="AH318" s="217"/>
      <c r="AI318" s="217"/>
      <c r="AJ318" s="217"/>
      <c r="AK318" s="217"/>
      <c r="AL318" s="49"/>
      <c r="AM318" s="49"/>
      <c r="AN318" s="49"/>
      <c r="AO318" s="49"/>
    </row>
    <row r="319" spans="11:41" ht="13.5" customHeight="1">
      <c r="K319" s="49"/>
      <c r="L319" s="49"/>
      <c r="M319" s="49"/>
      <c r="N319" s="49"/>
      <c r="O319" s="49"/>
      <c r="P319" s="49"/>
      <c r="Q319" s="49"/>
      <c r="S319" s="49"/>
      <c r="U319" s="110"/>
      <c r="V319" s="217"/>
      <c r="W319" s="217"/>
      <c r="X319" s="217"/>
      <c r="Y319" s="217"/>
      <c r="Z319" s="217"/>
      <c r="AA319" s="217"/>
      <c r="AB319" s="217"/>
      <c r="AC319" s="217"/>
      <c r="AD319" s="217"/>
      <c r="AE319" s="217"/>
      <c r="AF319" s="217"/>
      <c r="AG319" s="217"/>
      <c r="AH319" s="217"/>
      <c r="AI319" s="217"/>
      <c r="AJ319" s="217"/>
      <c r="AK319" s="217"/>
      <c r="AL319" s="49"/>
      <c r="AM319" s="49"/>
      <c r="AN319" s="49"/>
      <c r="AO319" s="49"/>
    </row>
    <row r="320" spans="11:41" ht="13.5" customHeight="1">
      <c r="K320" s="49"/>
      <c r="L320" s="49"/>
      <c r="M320" s="49"/>
      <c r="N320" s="49"/>
      <c r="O320" s="49"/>
      <c r="P320" s="49"/>
      <c r="Q320" s="49"/>
      <c r="S320" s="49"/>
      <c r="U320" s="110"/>
      <c r="V320" s="217"/>
      <c r="W320" s="217"/>
      <c r="X320" s="217"/>
      <c r="Y320" s="217"/>
      <c r="Z320" s="217"/>
      <c r="AA320" s="217"/>
      <c r="AB320" s="217"/>
      <c r="AC320" s="217"/>
      <c r="AD320" s="217"/>
      <c r="AE320" s="217"/>
      <c r="AF320" s="217"/>
      <c r="AG320" s="217"/>
      <c r="AH320" s="217"/>
      <c r="AI320" s="217"/>
      <c r="AJ320" s="217"/>
      <c r="AK320" s="217"/>
      <c r="AL320" s="49"/>
      <c r="AM320" s="49"/>
      <c r="AN320" s="49"/>
      <c r="AO320" s="49"/>
    </row>
    <row r="321" spans="11:41" ht="13.5" customHeight="1">
      <c r="K321" s="49"/>
      <c r="L321" s="49"/>
      <c r="M321" s="49"/>
      <c r="N321" s="49"/>
      <c r="O321" s="49"/>
      <c r="P321" s="49"/>
      <c r="Q321" s="49"/>
      <c r="S321" s="49"/>
      <c r="U321" s="110"/>
      <c r="V321" s="217"/>
      <c r="W321" s="217"/>
      <c r="X321" s="217"/>
      <c r="Y321" s="217"/>
      <c r="Z321" s="217"/>
      <c r="AA321" s="217"/>
      <c r="AB321" s="217"/>
      <c r="AC321" s="217"/>
      <c r="AD321" s="217"/>
      <c r="AE321" s="217"/>
      <c r="AF321" s="217"/>
      <c r="AG321" s="217"/>
      <c r="AH321" s="217"/>
      <c r="AI321" s="217"/>
      <c r="AJ321" s="217"/>
      <c r="AK321" s="217"/>
      <c r="AL321" s="49"/>
      <c r="AM321" s="49"/>
      <c r="AN321" s="49"/>
      <c r="AO321" s="49"/>
    </row>
    <row r="322" spans="11:41" ht="13.5" customHeight="1">
      <c r="K322" s="49"/>
      <c r="L322" s="49"/>
      <c r="M322" s="49"/>
      <c r="N322" s="49"/>
      <c r="O322" s="49"/>
      <c r="P322" s="49"/>
      <c r="Q322" s="49"/>
      <c r="S322" s="49"/>
      <c r="U322" s="110"/>
      <c r="V322" s="217"/>
      <c r="W322" s="217"/>
      <c r="X322" s="217"/>
      <c r="Y322" s="217"/>
      <c r="Z322" s="217"/>
      <c r="AA322" s="217"/>
      <c r="AB322" s="217"/>
      <c r="AC322" s="217"/>
      <c r="AD322" s="217"/>
      <c r="AE322" s="217"/>
      <c r="AF322" s="217"/>
      <c r="AG322" s="217"/>
      <c r="AH322" s="217"/>
      <c r="AI322" s="217"/>
      <c r="AJ322" s="217"/>
      <c r="AK322" s="217"/>
      <c r="AL322" s="49"/>
      <c r="AM322" s="49"/>
      <c r="AN322" s="49"/>
      <c r="AO322" s="49"/>
    </row>
    <row r="323" spans="11:41" ht="13.5" customHeight="1">
      <c r="K323" s="49"/>
      <c r="L323" s="49"/>
      <c r="M323" s="49"/>
      <c r="N323" s="49"/>
      <c r="O323" s="49"/>
      <c r="P323" s="49"/>
      <c r="Q323" s="49"/>
      <c r="S323" s="49"/>
      <c r="U323" s="110"/>
      <c r="V323" s="217"/>
      <c r="W323" s="217"/>
      <c r="X323" s="217"/>
      <c r="Y323" s="217"/>
      <c r="Z323" s="217"/>
      <c r="AA323" s="217"/>
      <c r="AB323" s="217"/>
      <c r="AC323" s="217"/>
      <c r="AD323" s="217"/>
      <c r="AE323" s="217"/>
      <c r="AF323" s="217"/>
      <c r="AG323" s="217"/>
      <c r="AH323" s="217"/>
      <c r="AI323" s="217"/>
      <c r="AJ323" s="217"/>
      <c r="AK323" s="217"/>
      <c r="AL323" s="49"/>
      <c r="AM323" s="49"/>
      <c r="AN323" s="49"/>
      <c r="AO323" s="49"/>
    </row>
    <row r="324" spans="11:41" ht="13.5" customHeight="1">
      <c r="K324" s="49"/>
      <c r="L324" s="49"/>
      <c r="M324" s="49"/>
      <c r="N324" s="49"/>
      <c r="O324" s="49"/>
      <c r="P324" s="49"/>
      <c r="Q324" s="49"/>
      <c r="S324" s="49"/>
      <c r="U324" s="110"/>
      <c r="V324" s="217"/>
      <c r="W324" s="217"/>
      <c r="X324" s="217"/>
      <c r="Y324" s="217"/>
      <c r="Z324" s="217"/>
      <c r="AA324" s="217"/>
      <c r="AB324" s="217"/>
      <c r="AC324" s="217"/>
      <c r="AD324" s="217"/>
      <c r="AE324" s="217"/>
      <c r="AF324" s="217"/>
      <c r="AG324" s="217"/>
      <c r="AH324" s="217"/>
      <c r="AI324" s="217"/>
      <c r="AJ324" s="217"/>
      <c r="AK324" s="217"/>
      <c r="AL324" s="49"/>
      <c r="AM324" s="49"/>
      <c r="AN324" s="49"/>
      <c r="AO324" s="49"/>
    </row>
    <row r="325" spans="11:41" ht="13.5" customHeight="1">
      <c r="K325" s="49"/>
      <c r="L325" s="49"/>
      <c r="M325" s="49"/>
      <c r="N325" s="49"/>
      <c r="O325" s="49"/>
      <c r="P325" s="49"/>
      <c r="Q325" s="49"/>
      <c r="S325" s="49"/>
      <c r="U325" s="110"/>
      <c r="V325" s="217"/>
      <c r="W325" s="217"/>
      <c r="X325" s="217"/>
      <c r="Y325" s="217"/>
      <c r="Z325" s="217"/>
      <c r="AA325" s="217"/>
      <c r="AB325" s="217"/>
      <c r="AC325" s="217"/>
      <c r="AD325" s="217"/>
      <c r="AE325" s="217"/>
      <c r="AF325" s="217"/>
      <c r="AG325" s="217"/>
      <c r="AH325" s="217"/>
      <c r="AI325" s="217"/>
      <c r="AJ325" s="217"/>
      <c r="AK325" s="217"/>
      <c r="AL325" s="49"/>
      <c r="AM325" s="49"/>
      <c r="AN325" s="49"/>
      <c r="AO325" s="49"/>
    </row>
    <row r="326" spans="11:41" ht="13.5" customHeight="1">
      <c r="K326" s="49"/>
      <c r="L326" s="49"/>
      <c r="M326" s="49"/>
      <c r="N326" s="49"/>
      <c r="O326" s="49"/>
      <c r="P326" s="49"/>
      <c r="Q326" s="49"/>
      <c r="S326" s="49"/>
      <c r="U326" s="110"/>
      <c r="V326" s="217"/>
      <c r="W326" s="217"/>
      <c r="X326" s="217"/>
      <c r="Y326" s="217"/>
      <c r="Z326" s="217"/>
      <c r="AA326" s="217"/>
      <c r="AB326" s="217"/>
      <c r="AC326" s="217"/>
      <c r="AD326" s="217"/>
      <c r="AE326" s="217"/>
      <c r="AF326" s="217"/>
      <c r="AG326" s="217"/>
      <c r="AH326" s="217"/>
      <c r="AI326" s="217"/>
      <c r="AJ326" s="217"/>
      <c r="AK326" s="217"/>
      <c r="AL326" s="49"/>
      <c r="AM326" s="49"/>
      <c r="AN326" s="49"/>
      <c r="AO326" s="49"/>
    </row>
    <row r="327" spans="11:41" ht="13.5" customHeight="1">
      <c r="K327" s="49"/>
      <c r="L327" s="49"/>
      <c r="M327" s="49"/>
      <c r="N327" s="49"/>
      <c r="O327" s="49"/>
      <c r="P327" s="49"/>
      <c r="Q327" s="49"/>
      <c r="S327" s="49"/>
      <c r="U327" s="110"/>
      <c r="V327" s="217"/>
      <c r="W327" s="217"/>
      <c r="X327" s="217"/>
      <c r="Y327" s="217"/>
      <c r="Z327" s="217"/>
      <c r="AA327" s="217"/>
      <c r="AB327" s="217"/>
      <c r="AC327" s="217"/>
      <c r="AD327" s="217"/>
      <c r="AE327" s="217"/>
      <c r="AF327" s="217"/>
      <c r="AG327" s="217"/>
      <c r="AH327" s="217"/>
      <c r="AI327" s="217"/>
      <c r="AJ327" s="217"/>
      <c r="AK327" s="217"/>
      <c r="AL327" s="49"/>
      <c r="AM327" s="49"/>
      <c r="AN327" s="49"/>
      <c r="AO327" s="49"/>
    </row>
    <row r="328" spans="11:41" ht="13.5" customHeight="1">
      <c r="K328" s="49"/>
      <c r="L328" s="49"/>
      <c r="M328" s="49"/>
      <c r="N328" s="49"/>
      <c r="O328" s="49"/>
      <c r="P328" s="49"/>
      <c r="Q328" s="49"/>
      <c r="S328" s="49"/>
      <c r="U328" s="110"/>
      <c r="V328" s="217"/>
      <c r="W328" s="217"/>
      <c r="X328" s="217"/>
      <c r="Y328" s="217"/>
      <c r="Z328" s="217"/>
      <c r="AA328" s="217"/>
      <c r="AB328" s="217"/>
      <c r="AC328" s="217"/>
      <c r="AD328" s="217"/>
      <c r="AE328" s="217"/>
      <c r="AF328" s="217"/>
      <c r="AG328" s="217"/>
      <c r="AH328" s="217"/>
      <c r="AI328" s="217"/>
      <c r="AJ328" s="217"/>
      <c r="AK328" s="217"/>
      <c r="AL328" s="49"/>
      <c r="AM328" s="49"/>
      <c r="AN328" s="49"/>
      <c r="AO328" s="49"/>
    </row>
    <row r="329" spans="11:41" ht="13.5" customHeight="1">
      <c r="K329" s="49"/>
      <c r="L329" s="49"/>
      <c r="M329" s="49"/>
      <c r="N329" s="49"/>
      <c r="O329" s="49"/>
      <c r="P329" s="49"/>
      <c r="Q329" s="49"/>
      <c r="S329" s="49"/>
      <c r="U329" s="110"/>
      <c r="V329" s="217"/>
      <c r="W329" s="217"/>
      <c r="X329" s="217"/>
      <c r="Y329" s="217"/>
      <c r="Z329" s="217"/>
      <c r="AA329" s="217"/>
      <c r="AB329" s="217"/>
      <c r="AC329" s="217"/>
      <c r="AD329" s="217"/>
      <c r="AE329" s="217"/>
      <c r="AF329" s="217"/>
      <c r="AG329" s="217"/>
      <c r="AH329" s="217"/>
      <c r="AI329" s="217"/>
      <c r="AJ329" s="217"/>
      <c r="AK329" s="217"/>
      <c r="AL329" s="49"/>
      <c r="AM329" s="49"/>
      <c r="AN329" s="49"/>
      <c r="AO329" s="49"/>
    </row>
    <row r="330" spans="11:41" ht="13.5" customHeight="1">
      <c r="K330" s="49"/>
      <c r="L330" s="49"/>
      <c r="M330" s="49"/>
      <c r="N330" s="49"/>
      <c r="O330" s="49"/>
      <c r="P330" s="49"/>
      <c r="Q330" s="49"/>
      <c r="S330" s="49"/>
      <c r="U330" s="110"/>
      <c r="V330" s="217"/>
      <c r="W330" s="217"/>
      <c r="X330" s="217"/>
      <c r="Y330" s="217"/>
      <c r="Z330" s="217"/>
      <c r="AA330" s="217"/>
      <c r="AB330" s="217"/>
      <c r="AC330" s="217"/>
      <c r="AD330" s="217"/>
      <c r="AE330" s="217"/>
      <c r="AF330" s="217"/>
      <c r="AG330" s="217"/>
      <c r="AH330" s="217"/>
      <c r="AI330" s="217"/>
      <c r="AJ330" s="217"/>
      <c r="AK330" s="217"/>
      <c r="AL330" s="49"/>
      <c r="AM330" s="49"/>
      <c r="AN330" s="49"/>
      <c r="AO330" s="49"/>
    </row>
    <row r="331" spans="11:41" ht="13.5" customHeight="1">
      <c r="K331" s="49"/>
      <c r="L331" s="49"/>
      <c r="M331" s="49"/>
      <c r="N331" s="49"/>
      <c r="O331" s="49"/>
      <c r="P331" s="49"/>
      <c r="Q331" s="49"/>
      <c r="S331" s="49"/>
      <c r="U331" s="110"/>
      <c r="V331" s="217"/>
      <c r="W331" s="217"/>
      <c r="X331" s="217"/>
      <c r="Y331" s="217"/>
      <c r="Z331" s="217"/>
      <c r="AA331" s="217"/>
      <c r="AB331" s="217"/>
      <c r="AC331" s="217"/>
      <c r="AD331" s="217"/>
      <c r="AE331" s="217"/>
      <c r="AF331" s="217"/>
      <c r="AG331" s="217"/>
      <c r="AH331" s="217"/>
      <c r="AI331" s="217"/>
      <c r="AJ331" s="217"/>
      <c r="AK331" s="217"/>
      <c r="AL331" s="49"/>
      <c r="AM331" s="49"/>
      <c r="AN331" s="49"/>
      <c r="AO331" s="49"/>
    </row>
    <row r="332" spans="11:41" ht="13.5" customHeight="1">
      <c r="K332" s="49"/>
      <c r="L332" s="49"/>
      <c r="M332" s="49"/>
      <c r="N332" s="49"/>
      <c r="O332" s="49"/>
      <c r="P332" s="49"/>
      <c r="Q332" s="49"/>
      <c r="S332" s="49"/>
      <c r="U332" s="110"/>
      <c r="V332" s="217"/>
      <c r="W332" s="217"/>
      <c r="X332" s="217"/>
      <c r="Y332" s="217"/>
      <c r="Z332" s="217"/>
      <c r="AA332" s="217"/>
      <c r="AB332" s="217"/>
      <c r="AC332" s="217"/>
      <c r="AD332" s="217"/>
      <c r="AE332" s="217"/>
      <c r="AF332" s="217"/>
      <c r="AG332" s="217"/>
      <c r="AH332" s="217"/>
      <c r="AI332" s="217"/>
      <c r="AJ332" s="217"/>
      <c r="AK332" s="217"/>
      <c r="AL332" s="49"/>
      <c r="AM332" s="49"/>
      <c r="AN332" s="49"/>
      <c r="AO332" s="49"/>
    </row>
    <row r="333" spans="11:41" ht="13.5" customHeight="1">
      <c r="K333" s="49"/>
      <c r="L333" s="49"/>
      <c r="M333" s="49"/>
      <c r="N333" s="49"/>
      <c r="O333" s="49"/>
      <c r="P333" s="49"/>
      <c r="Q333" s="49"/>
      <c r="S333" s="49"/>
      <c r="U333" s="110"/>
      <c r="V333" s="217"/>
      <c r="W333" s="217"/>
      <c r="X333" s="217"/>
      <c r="Y333" s="217"/>
      <c r="Z333" s="217"/>
      <c r="AA333" s="217"/>
      <c r="AB333" s="217"/>
      <c r="AC333" s="217"/>
      <c r="AD333" s="217"/>
      <c r="AE333" s="217"/>
      <c r="AF333" s="217"/>
      <c r="AG333" s="217"/>
      <c r="AH333" s="217"/>
      <c r="AI333" s="217"/>
      <c r="AJ333" s="217"/>
      <c r="AK333" s="217"/>
      <c r="AL333" s="49"/>
      <c r="AM333" s="49"/>
      <c r="AN333" s="49"/>
      <c r="AO333" s="49"/>
    </row>
    <row r="334" spans="11:41" ht="13.5" customHeight="1">
      <c r="K334" s="49"/>
      <c r="L334" s="49"/>
      <c r="M334" s="49"/>
      <c r="N334" s="49"/>
      <c r="O334" s="49"/>
      <c r="P334" s="49"/>
      <c r="Q334" s="49"/>
      <c r="S334" s="49"/>
      <c r="U334" s="110"/>
      <c r="V334" s="217"/>
      <c r="W334" s="217"/>
      <c r="X334" s="217"/>
      <c r="Y334" s="217"/>
      <c r="Z334" s="217"/>
      <c r="AA334" s="217"/>
      <c r="AB334" s="217"/>
      <c r="AC334" s="217"/>
      <c r="AD334" s="217"/>
      <c r="AE334" s="217"/>
      <c r="AF334" s="217"/>
      <c r="AG334" s="217"/>
      <c r="AH334" s="217"/>
      <c r="AI334" s="217"/>
      <c r="AJ334" s="217"/>
      <c r="AK334" s="217"/>
      <c r="AL334" s="49"/>
      <c r="AM334" s="49"/>
      <c r="AN334" s="49"/>
      <c r="AO334" s="49"/>
    </row>
    <row r="335" spans="11:41" ht="13.5" customHeight="1">
      <c r="K335" s="49"/>
      <c r="L335" s="49"/>
      <c r="M335" s="49"/>
      <c r="N335" s="49"/>
      <c r="O335" s="49"/>
      <c r="P335" s="49"/>
      <c r="Q335" s="49"/>
      <c r="S335" s="49"/>
      <c r="U335" s="110"/>
      <c r="V335" s="217"/>
      <c r="W335" s="217"/>
      <c r="X335" s="217"/>
      <c r="Y335" s="217"/>
      <c r="Z335" s="217"/>
      <c r="AA335" s="217"/>
      <c r="AB335" s="217"/>
      <c r="AC335" s="217"/>
      <c r="AD335" s="217"/>
      <c r="AE335" s="217"/>
      <c r="AF335" s="217"/>
      <c r="AG335" s="217"/>
      <c r="AH335" s="217"/>
      <c r="AI335" s="217"/>
      <c r="AJ335" s="217"/>
      <c r="AK335" s="217"/>
      <c r="AL335" s="49"/>
      <c r="AM335" s="49"/>
      <c r="AN335" s="49"/>
      <c r="AO335" s="49"/>
    </row>
    <row r="336" spans="11:41" ht="13.5" customHeight="1">
      <c r="K336" s="49"/>
      <c r="L336" s="49"/>
      <c r="M336" s="49"/>
      <c r="N336" s="49"/>
      <c r="O336" s="49"/>
      <c r="P336" s="49"/>
      <c r="Q336" s="49"/>
      <c r="S336" s="49"/>
      <c r="U336" s="110"/>
      <c r="V336" s="217"/>
      <c r="W336" s="217"/>
      <c r="X336" s="217"/>
      <c r="Y336" s="217"/>
      <c r="Z336" s="217"/>
      <c r="AA336" s="217"/>
      <c r="AB336" s="217"/>
      <c r="AC336" s="217"/>
      <c r="AD336" s="217"/>
      <c r="AE336" s="217"/>
      <c r="AF336" s="217"/>
      <c r="AG336" s="217"/>
      <c r="AH336" s="217"/>
      <c r="AI336" s="217"/>
      <c r="AJ336" s="217"/>
      <c r="AK336" s="217"/>
      <c r="AL336" s="49"/>
      <c r="AM336" s="49"/>
      <c r="AN336" s="49"/>
      <c r="AO336" s="49"/>
    </row>
    <row r="337" spans="11:41" ht="13.5" customHeight="1">
      <c r="K337" s="49"/>
      <c r="L337" s="49"/>
      <c r="M337" s="49"/>
      <c r="N337" s="49"/>
      <c r="O337" s="49"/>
      <c r="P337" s="49"/>
      <c r="Q337" s="49"/>
      <c r="S337" s="49"/>
      <c r="U337" s="110"/>
      <c r="V337" s="217"/>
      <c r="W337" s="217"/>
      <c r="X337" s="217"/>
      <c r="Y337" s="217"/>
      <c r="Z337" s="217"/>
      <c r="AA337" s="217"/>
      <c r="AB337" s="217"/>
      <c r="AC337" s="217"/>
      <c r="AD337" s="217"/>
      <c r="AE337" s="217"/>
      <c r="AF337" s="217"/>
      <c r="AG337" s="217"/>
      <c r="AH337" s="217"/>
      <c r="AI337" s="217"/>
      <c r="AJ337" s="217"/>
      <c r="AK337" s="217"/>
      <c r="AL337" s="49"/>
      <c r="AM337" s="49"/>
      <c r="AN337" s="49"/>
      <c r="AO337" s="49"/>
    </row>
    <row r="338" spans="11:41" ht="13.5" customHeight="1">
      <c r="K338" s="49"/>
      <c r="L338" s="49"/>
      <c r="M338" s="49"/>
      <c r="N338" s="49"/>
      <c r="O338" s="49"/>
      <c r="P338" s="49"/>
      <c r="Q338" s="49"/>
      <c r="S338" s="49"/>
      <c r="U338" s="110"/>
      <c r="V338" s="217"/>
      <c r="W338" s="217"/>
      <c r="X338" s="217"/>
      <c r="Y338" s="217"/>
      <c r="Z338" s="217"/>
      <c r="AA338" s="217"/>
      <c r="AB338" s="217"/>
      <c r="AC338" s="217"/>
      <c r="AD338" s="217"/>
      <c r="AE338" s="217"/>
      <c r="AF338" s="217"/>
      <c r="AG338" s="217"/>
      <c r="AH338" s="217"/>
      <c r="AI338" s="217"/>
      <c r="AJ338" s="217"/>
      <c r="AK338" s="217"/>
      <c r="AL338" s="49"/>
      <c r="AM338" s="49"/>
      <c r="AN338" s="49"/>
      <c r="AO338" s="49"/>
    </row>
    <row r="339" spans="11:41" ht="13.5" customHeight="1">
      <c r="K339" s="49"/>
      <c r="L339" s="49"/>
      <c r="M339" s="49"/>
      <c r="N339" s="49"/>
      <c r="O339" s="49"/>
      <c r="P339" s="49"/>
      <c r="Q339" s="49"/>
      <c r="S339" s="49"/>
      <c r="U339" s="110"/>
      <c r="V339" s="217"/>
      <c r="W339" s="217"/>
      <c r="X339" s="217"/>
      <c r="Y339" s="217"/>
      <c r="Z339" s="217"/>
      <c r="AA339" s="217"/>
      <c r="AB339" s="217"/>
      <c r="AC339" s="217"/>
      <c r="AD339" s="217"/>
      <c r="AE339" s="217"/>
      <c r="AF339" s="217"/>
      <c r="AG339" s="217"/>
      <c r="AH339" s="217"/>
      <c r="AI339" s="217"/>
      <c r="AJ339" s="217"/>
      <c r="AK339" s="217"/>
      <c r="AL339" s="49"/>
      <c r="AM339" s="49"/>
      <c r="AN339" s="49"/>
      <c r="AO339" s="49"/>
    </row>
    <row r="340" spans="11:41" ht="13.5" customHeight="1">
      <c r="K340" s="49"/>
      <c r="L340" s="49"/>
      <c r="M340" s="49"/>
      <c r="N340" s="49"/>
      <c r="O340" s="49"/>
      <c r="P340" s="49"/>
      <c r="Q340" s="49"/>
      <c r="S340" s="49"/>
      <c r="U340" s="110"/>
      <c r="V340" s="217"/>
      <c r="W340" s="217"/>
      <c r="X340" s="217"/>
      <c r="Y340" s="217"/>
      <c r="Z340" s="217"/>
      <c r="AA340" s="217"/>
      <c r="AB340" s="217"/>
      <c r="AC340" s="217"/>
      <c r="AD340" s="217"/>
      <c r="AE340" s="217"/>
      <c r="AF340" s="217"/>
      <c r="AG340" s="217"/>
      <c r="AH340" s="217"/>
      <c r="AI340" s="217"/>
      <c r="AJ340" s="217"/>
      <c r="AK340" s="217"/>
      <c r="AL340" s="49"/>
      <c r="AM340" s="49"/>
      <c r="AN340" s="49"/>
      <c r="AO340" s="49"/>
    </row>
    <row r="341" spans="11:41" ht="13.5" customHeight="1">
      <c r="K341" s="49"/>
      <c r="L341" s="49"/>
      <c r="M341" s="49"/>
      <c r="N341" s="49"/>
      <c r="O341" s="49"/>
      <c r="P341" s="49"/>
      <c r="Q341" s="49"/>
      <c r="S341" s="49"/>
      <c r="U341" s="110"/>
      <c r="V341" s="217"/>
      <c r="W341" s="217"/>
      <c r="X341" s="217"/>
      <c r="Y341" s="217"/>
      <c r="Z341" s="217"/>
      <c r="AA341" s="217"/>
      <c r="AB341" s="217"/>
      <c r="AC341" s="217"/>
      <c r="AD341" s="217"/>
      <c r="AE341" s="217"/>
      <c r="AF341" s="217"/>
      <c r="AG341" s="217"/>
      <c r="AH341" s="217"/>
      <c r="AI341" s="217"/>
      <c r="AJ341" s="217"/>
      <c r="AK341" s="217"/>
      <c r="AL341" s="49"/>
      <c r="AM341" s="49"/>
      <c r="AN341" s="49"/>
      <c r="AO341" s="49"/>
    </row>
    <row r="342" spans="11:41" ht="13.5" customHeight="1">
      <c r="K342" s="49"/>
      <c r="L342" s="49"/>
      <c r="M342" s="49"/>
      <c r="N342" s="49"/>
      <c r="O342" s="49"/>
      <c r="P342" s="49"/>
      <c r="Q342" s="49"/>
      <c r="S342" s="49"/>
      <c r="U342" s="110"/>
      <c r="V342" s="217"/>
      <c r="W342" s="217"/>
      <c r="X342" s="217"/>
      <c r="Y342" s="217"/>
      <c r="Z342" s="217"/>
      <c r="AA342" s="217"/>
      <c r="AB342" s="217"/>
      <c r="AC342" s="217"/>
      <c r="AD342" s="217"/>
      <c r="AE342" s="217"/>
      <c r="AF342" s="217"/>
      <c r="AG342" s="217"/>
      <c r="AH342" s="217"/>
      <c r="AI342" s="217"/>
      <c r="AJ342" s="217"/>
      <c r="AK342" s="217"/>
      <c r="AL342" s="49"/>
      <c r="AM342" s="49"/>
      <c r="AN342" s="49"/>
      <c r="AO342" s="49"/>
    </row>
    <row r="343" spans="11:41" ht="13.5" customHeight="1">
      <c r="K343" s="49"/>
      <c r="L343" s="49"/>
      <c r="M343" s="49"/>
      <c r="N343" s="49"/>
      <c r="O343" s="49"/>
      <c r="P343" s="49"/>
      <c r="Q343" s="49"/>
      <c r="S343" s="49"/>
      <c r="U343" s="110"/>
      <c r="V343" s="217"/>
      <c r="W343" s="217"/>
      <c r="X343" s="217"/>
      <c r="Y343" s="217"/>
      <c r="Z343" s="217"/>
      <c r="AA343" s="217"/>
      <c r="AB343" s="217"/>
      <c r="AC343" s="217"/>
      <c r="AD343" s="217"/>
      <c r="AE343" s="217"/>
      <c r="AF343" s="217"/>
      <c r="AG343" s="217"/>
      <c r="AH343" s="217"/>
      <c r="AI343" s="217"/>
      <c r="AJ343" s="217"/>
      <c r="AK343" s="217"/>
      <c r="AL343" s="49"/>
      <c r="AM343" s="49"/>
      <c r="AN343" s="49"/>
      <c r="AO343" s="49"/>
    </row>
    <row r="344" spans="11:41" ht="13.5" customHeight="1">
      <c r="K344" s="49"/>
      <c r="L344" s="49"/>
      <c r="M344" s="49"/>
      <c r="N344" s="49"/>
      <c r="O344" s="49"/>
      <c r="P344" s="49"/>
      <c r="Q344" s="49"/>
      <c r="S344" s="49"/>
      <c r="U344" s="110"/>
      <c r="V344" s="217"/>
      <c r="W344" s="217"/>
      <c r="X344" s="217"/>
      <c r="Y344" s="217"/>
      <c r="Z344" s="217"/>
      <c r="AA344" s="217"/>
      <c r="AB344" s="217"/>
      <c r="AC344" s="217"/>
      <c r="AD344" s="217"/>
      <c r="AE344" s="217"/>
      <c r="AF344" s="217"/>
      <c r="AG344" s="217"/>
      <c r="AH344" s="217"/>
      <c r="AI344" s="217"/>
      <c r="AJ344" s="217"/>
      <c r="AK344" s="217"/>
      <c r="AL344" s="49"/>
      <c r="AM344" s="49"/>
      <c r="AN344" s="49"/>
      <c r="AO344" s="49"/>
    </row>
    <row r="345" spans="11:41" ht="13.5" customHeight="1">
      <c r="K345" s="49"/>
      <c r="L345" s="49"/>
      <c r="M345" s="49"/>
      <c r="N345" s="49"/>
      <c r="O345" s="49"/>
      <c r="P345" s="49"/>
      <c r="Q345" s="49"/>
      <c r="S345" s="49"/>
      <c r="U345" s="110"/>
      <c r="V345" s="217"/>
      <c r="W345" s="217"/>
      <c r="X345" s="217"/>
      <c r="Y345" s="217"/>
      <c r="Z345" s="217"/>
      <c r="AA345" s="217"/>
      <c r="AB345" s="217"/>
      <c r="AC345" s="217"/>
      <c r="AD345" s="217"/>
      <c r="AE345" s="217"/>
      <c r="AF345" s="217"/>
      <c r="AG345" s="217"/>
      <c r="AH345" s="217"/>
      <c r="AI345" s="217"/>
      <c r="AJ345" s="217"/>
      <c r="AK345" s="217"/>
      <c r="AL345" s="49"/>
      <c r="AM345" s="49"/>
      <c r="AN345" s="49"/>
      <c r="AO345" s="49"/>
    </row>
    <row r="346" spans="11:41" ht="13.5" customHeight="1">
      <c r="K346" s="49"/>
      <c r="L346" s="49"/>
      <c r="M346" s="49"/>
      <c r="N346" s="49"/>
      <c r="O346" s="49"/>
      <c r="P346" s="49"/>
      <c r="Q346" s="49"/>
      <c r="S346" s="49"/>
      <c r="U346" s="110"/>
      <c r="V346" s="217"/>
      <c r="W346" s="217"/>
      <c r="X346" s="217"/>
      <c r="Y346" s="217"/>
      <c r="Z346" s="217"/>
      <c r="AA346" s="217"/>
      <c r="AB346" s="217"/>
      <c r="AC346" s="217"/>
      <c r="AD346" s="217"/>
      <c r="AE346" s="217"/>
      <c r="AF346" s="217"/>
      <c r="AG346" s="217"/>
      <c r="AH346" s="217"/>
      <c r="AI346" s="217"/>
      <c r="AJ346" s="217"/>
      <c r="AK346" s="217"/>
      <c r="AL346" s="49"/>
      <c r="AM346" s="49"/>
      <c r="AN346" s="49"/>
      <c r="AO346" s="49"/>
    </row>
    <row r="347" spans="11:41" ht="13.5" customHeight="1">
      <c r="K347" s="49"/>
      <c r="L347" s="49"/>
      <c r="M347" s="49"/>
      <c r="N347" s="49"/>
      <c r="O347" s="49"/>
      <c r="P347" s="49"/>
      <c r="Q347" s="49"/>
      <c r="S347" s="49"/>
      <c r="U347" s="110"/>
      <c r="V347" s="217"/>
      <c r="W347" s="217"/>
      <c r="X347" s="217"/>
      <c r="Y347" s="217"/>
      <c r="Z347" s="217"/>
      <c r="AA347" s="217"/>
      <c r="AB347" s="217"/>
      <c r="AC347" s="217"/>
      <c r="AD347" s="217"/>
      <c r="AE347" s="217"/>
      <c r="AF347" s="217"/>
      <c r="AG347" s="217"/>
      <c r="AH347" s="217"/>
      <c r="AI347" s="217"/>
      <c r="AJ347" s="217"/>
      <c r="AK347" s="217"/>
      <c r="AL347" s="49"/>
      <c r="AM347" s="49"/>
      <c r="AN347" s="49"/>
      <c r="AO347" s="49"/>
    </row>
    <row r="348" spans="11:41" ht="13.5" customHeight="1">
      <c r="K348" s="49"/>
      <c r="L348" s="49"/>
      <c r="M348" s="49"/>
      <c r="N348" s="49"/>
      <c r="O348" s="49"/>
      <c r="P348" s="49"/>
      <c r="Q348" s="49"/>
      <c r="S348" s="49"/>
      <c r="U348" s="110"/>
      <c r="V348" s="217"/>
      <c r="W348" s="217"/>
      <c r="X348" s="217"/>
      <c r="Y348" s="217"/>
      <c r="Z348" s="217"/>
      <c r="AA348" s="217"/>
      <c r="AB348" s="217"/>
      <c r="AC348" s="217"/>
      <c r="AD348" s="217"/>
      <c r="AE348" s="217"/>
      <c r="AF348" s="217"/>
      <c r="AG348" s="217"/>
      <c r="AH348" s="217"/>
      <c r="AI348" s="217"/>
      <c r="AJ348" s="217"/>
      <c r="AK348" s="217"/>
      <c r="AL348" s="49"/>
      <c r="AM348" s="49"/>
      <c r="AN348" s="49"/>
      <c r="AO348" s="49"/>
    </row>
    <row r="349" spans="11:41" ht="13.5" customHeight="1">
      <c r="K349" s="49"/>
      <c r="L349" s="49"/>
      <c r="M349" s="49"/>
      <c r="N349" s="49"/>
      <c r="O349" s="49"/>
      <c r="P349" s="49"/>
      <c r="Q349" s="49"/>
      <c r="S349" s="49"/>
      <c r="U349" s="110"/>
      <c r="V349" s="217"/>
      <c r="W349" s="217"/>
      <c r="X349" s="217"/>
      <c r="Y349" s="217"/>
      <c r="Z349" s="217"/>
      <c r="AA349" s="217"/>
      <c r="AB349" s="217"/>
      <c r="AC349" s="217"/>
      <c r="AD349" s="217"/>
      <c r="AE349" s="217"/>
      <c r="AF349" s="217"/>
      <c r="AG349" s="217"/>
      <c r="AH349" s="217"/>
      <c r="AI349" s="217"/>
      <c r="AJ349" s="217"/>
      <c r="AK349" s="217"/>
      <c r="AL349" s="49"/>
      <c r="AM349" s="49"/>
      <c r="AN349" s="49"/>
      <c r="AO349" s="49"/>
    </row>
    <row r="350" spans="11:41" ht="13.5" customHeight="1">
      <c r="K350" s="49"/>
      <c r="L350" s="49"/>
      <c r="M350" s="49"/>
      <c r="N350" s="49"/>
      <c r="O350" s="49"/>
      <c r="P350" s="49"/>
      <c r="Q350" s="49"/>
      <c r="S350" s="49"/>
      <c r="U350" s="110"/>
      <c r="V350" s="217"/>
      <c r="W350" s="217"/>
      <c r="X350" s="217"/>
      <c r="Y350" s="217"/>
      <c r="Z350" s="217"/>
      <c r="AA350" s="217"/>
      <c r="AB350" s="217"/>
      <c r="AC350" s="217"/>
      <c r="AD350" s="217"/>
      <c r="AE350" s="217"/>
      <c r="AF350" s="217"/>
      <c r="AG350" s="217"/>
      <c r="AH350" s="217"/>
      <c r="AI350" s="217"/>
      <c r="AJ350" s="217"/>
      <c r="AK350" s="217"/>
      <c r="AL350" s="49"/>
      <c r="AM350" s="49"/>
      <c r="AN350" s="49"/>
      <c r="AO350" s="49"/>
    </row>
    <row r="351" spans="11:41" ht="13.5" customHeight="1">
      <c r="K351" s="49"/>
      <c r="L351" s="49"/>
      <c r="M351" s="49"/>
      <c r="N351" s="49"/>
      <c r="O351" s="49"/>
      <c r="P351" s="49"/>
      <c r="Q351" s="49"/>
      <c r="S351" s="49"/>
      <c r="U351" s="110"/>
      <c r="V351" s="217"/>
      <c r="W351" s="217"/>
      <c r="X351" s="217"/>
      <c r="Y351" s="217"/>
      <c r="Z351" s="217"/>
      <c r="AA351" s="217"/>
      <c r="AB351" s="217"/>
      <c r="AC351" s="217"/>
      <c r="AD351" s="217"/>
      <c r="AE351" s="217"/>
      <c r="AF351" s="217"/>
      <c r="AG351" s="217"/>
      <c r="AH351" s="217"/>
      <c r="AI351" s="217"/>
      <c r="AJ351" s="217"/>
      <c r="AK351" s="217"/>
      <c r="AL351" s="49"/>
      <c r="AM351" s="49"/>
      <c r="AN351" s="49"/>
      <c r="AO351" s="49"/>
    </row>
    <row r="352" spans="11:41" ht="13.5" customHeight="1">
      <c r="K352" s="49"/>
      <c r="L352" s="49"/>
      <c r="M352" s="49"/>
      <c r="N352" s="49"/>
      <c r="O352" s="49"/>
      <c r="P352" s="49"/>
      <c r="Q352" s="49"/>
      <c r="S352" s="49"/>
      <c r="U352" s="110"/>
      <c r="V352" s="217"/>
      <c r="W352" s="217"/>
      <c r="X352" s="217"/>
      <c r="Y352" s="217"/>
      <c r="Z352" s="217"/>
      <c r="AA352" s="217"/>
      <c r="AB352" s="217"/>
      <c r="AC352" s="217"/>
      <c r="AD352" s="217"/>
      <c r="AE352" s="217"/>
      <c r="AF352" s="217"/>
      <c r="AG352" s="217"/>
      <c r="AH352" s="217"/>
      <c r="AI352" s="217"/>
      <c r="AJ352" s="217"/>
      <c r="AK352" s="217"/>
      <c r="AL352" s="49"/>
      <c r="AM352" s="49"/>
      <c r="AN352" s="49"/>
      <c r="AO352" s="49"/>
    </row>
    <row r="353" spans="11:41" ht="13.5" customHeight="1">
      <c r="K353" s="49"/>
      <c r="L353" s="49"/>
      <c r="M353" s="49"/>
      <c r="N353" s="49"/>
      <c r="O353" s="49"/>
      <c r="P353" s="49"/>
      <c r="Q353" s="49"/>
      <c r="S353" s="49"/>
      <c r="U353" s="110"/>
      <c r="V353" s="217"/>
      <c r="W353" s="217"/>
      <c r="X353" s="217"/>
      <c r="Y353" s="217"/>
      <c r="Z353" s="217"/>
      <c r="AA353" s="217"/>
      <c r="AB353" s="217"/>
      <c r="AC353" s="217"/>
      <c r="AD353" s="217"/>
      <c r="AE353" s="217"/>
      <c r="AF353" s="217"/>
      <c r="AG353" s="217"/>
      <c r="AH353" s="217"/>
      <c r="AI353" s="217"/>
      <c r="AJ353" s="217"/>
      <c r="AK353" s="217"/>
      <c r="AL353" s="49"/>
      <c r="AM353" s="49"/>
      <c r="AN353" s="49"/>
      <c r="AO353" s="49"/>
    </row>
    <row r="354" spans="11:41" ht="13.5" customHeight="1">
      <c r="K354" s="49"/>
      <c r="L354" s="49"/>
      <c r="M354" s="49"/>
      <c r="N354" s="49"/>
      <c r="O354" s="49"/>
      <c r="P354" s="49"/>
      <c r="Q354" s="49"/>
      <c r="S354" s="49"/>
      <c r="U354" s="110"/>
      <c r="V354" s="217"/>
      <c r="W354" s="217"/>
      <c r="X354" s="217"/>
      <c r="Y354" s="217"/>
      <c r="Z354" s="217"/>
      <c r="AA354" s="217"/>
      <c r="AB354" s="217"/>
      <c r="AC354" s="217"/>
      <c r="AD354" s="217"/>
      <c r="AE354" s="217"/>
      <c r="AF354" s="217"/>
      <c r="AG354" s="217"/>
      <c r="AH354" s="217"/>
      <c r="AI354" s="217"/>
      <c r="AJ354" s="217"/>
      <c r="AK354" s="217"/>
      <c r="AL354" s="49"/>
      <c r="AM354" s="49"/>
      <c r="AN354" s="49"/>
      <c r="AO354" s="49"/>
    </row>
    <row r="355" spans="11:41" ht="13.5" customHeight="1">
      <c r="K355" s="49"/>
      <c r="L355" s="49"/>
      <c r="M355" s="49"/>
      <c r="N355" s="49"/>
      <c r="O355" s="49"/>
      <c r="P355" s="49"/>
      <c r="Q355" s="49"/>
      <c r="S355" s="49"/>
      <c r="U355" s="110"/>
      <c r="V355" s="217"/>
      <c r="W355" s="217"/>
      <c r="X355" s="217"/>
      <c r="Y355" s="217"/>
      <c r="Z355" s="217"/>
      <c r="AA355" s="217"/>
      <c r="AB355" s="217"/>
      <c r="AC355" s="217"/>
      <c r="AD355" s="217"/>
      <c r="AE355" s="217"/>
      <c r="AF355" s="217"/>
      <c r="AG355" s="217"/>
      <c r="AH355" s="217"/>
      <c r="AI355" s="217"/>
      <c r="AJ355" s="217"/>
      <c r="AK355" s="217"/>
      <c r="AL355" s="49"/>
      <c r="AM355" s="49"/>
      <c r="AN355" s="49"/>
      <c r="AO355" s="49"/>
    </row>
    <row r="356" spans="11:41" ht="13.5" customHeight="1">
      <c r="K356" s="49"/>
      <c r="L356" s="49"/>
      <c r="M356" s="49"/>
      <c r="N356" s="49"/>
      <c r="O356" s="49"/>
      <c r="P356" s="49"/>
      <c r="Q356" s="49"/>
      <c r="S356" s="49"/>
      <c r="U356" s="110"/>
      <c r="V356" s="217"/>
      <c r="W356" s="217"/>
      <c r="X356" s="217"/>
      <c r="Y356" s="217"/>
      <c r="Z356" s="217"/>
      <c r="AA356" s="217"/>
      <c r="AB356" s="217"/>
      <c r="AC356" s="217"/>
      <c r="AD356" s="217"/>
      <c r="AE356" s="217"/>
      <c r="AF356" s="217"/>
      <c r="AG356" s="217"/>
      <c r="AH356" s="217"/>
      <c r="AI356" s="217"/>
      <c r="AJ356" s="217"/>
      <c r="AK356" s="217"/>
      <c r="AL356" s="49"/>
      <c r="AM356" s="49"/>
      <c r="AN356" s="49"/>
      <c r="AO356" s="49"/>
    </row>
    <row r="357" spans="11:41" ht="13.5" customHeight="1">
      <c r="S357" s="49"/>
      <c r="U357" s="110"/>
      <c r="V357" s="217"/>
      <c r="W357" s="217"/>
      <c r="X357" s="217"/>
      <c r="Y357" s="217"/>
      <c r="Z357" s="217"/>
      <c r="AA357" s="217"/>
      <c r="AB357" s="217"/>
      <c r="AC357" s="217"/>
      <c r="AD357" s="217"/>
      <c r="AE357" s="217"/>
      <c r="AF357" s="217"/>
      <c r="AG357" s="217"/>
      <c r="AH357" s="217"/>
      <c r="AI357" s="217"/>
      <c r="AJ357" s="217"/>
      <c r="AK357" s="217"/>
      <c r="AL357" s="49"/>
      <c r="AM357" s="49"/>
      <c r="AN357" s="49"/>
      <c r="AO357" s="49"/>
    </row>
    <row r="358" spans="11:41" ht="13.5" customHeight="1">
      <c r="S358" s="49"/>
      <c r="U358" s="110"/>
      <c r="V358" s="217"/>
      <c r="W358" s="217"/>
      <c r="X358" s="217"/>
      <c r="Y358" s="217"/>
      <c r="Z358" s="217"/>
      <c r="AA358" s="217"/>
      <c r="AB358" s="217"/>
      <c r="AC358" s="217"/>
      <c r="AD358" s="217"/>
      <c r="AE358" s="217"/>
      <c r="AF358" s="217"/>
      <c r="AG358" s="217"/>
      <c r="AH358" s="217"/>
      <c r="AI358" s="217"/>
      <c r="AJ358" s="217"/>
      <c r="AK358" s="217"/>
      <c r="AL358" s="49"/>
      <c r="AM358" s="49"/>
      <c r="AN358" s="49"/>
      <c r="AO358" s="49"/>
    </row>
    <row r="359" spans="11:41" ht="13.5" customHeight="1">
      <c r="S359" s="49"/>
      <c r="U359" s="110"/>
      <c r="V359" s="217"/>
      <c r="W359" s="217"/>
      <c r="X359" s="217"/>
      <c r="Y359" s="217"/>
      <c r="Z359" s="217"/>
      <c r="AA359" s="217"/>
      <c r="AB359" s="217"/>
      <c r="AC359" s="217"/>
      <c r="AD359" s="217"/>
      <c r="AE359" s="217"/>
      <c r="AF359" s="217"/>
      <c r="AG359" s="217"/>
      <c r="AH359" s="217"/>
      <c r="AI359" s="217"/>
      <c r="AJ359" s="217"/>
      <c r="AK359" s="217"/>
      <c r="AL359" s="49"/>
      <c r="AM359" s="49"/>
      <c r="AN359" s="49"/>
      <c r="AO359" s="49"/>
    </row>
    <row r="360" spans="11:41" ht="13.5" customHeight="1">
      <c r="U360" s="110"/>
      <c r="V360" s="217"/>
      <c r="W360" s="217"/>
      <c r="AG360" s="217"/>
      <c r="AH360" s="217"/>
      <c r="AI360" s="217"/>
      <c r="AJ360" s="217"/>
      <c r="AK360" s="217"/>
      <c r="AL360" s="49"/>
      <c r="AM360" s="49"/>
      <c r="AN360" s="49"/>
      <c r="AO360" s="49"/>
    </row>
  </sheetData>
  <sheetProtection password="C9A3" sheet="1" objects="1" scenarios="1" selectLockedCells="1"/>
  <mergeCells count="68">
    <mergeCell ref="Q21:Q23"/>
    <mergeCell ref="M1:Q1"/>
    <mergeCell ref="P2:Q2"/>
    <mergeCell ref="K4:Q4"/>
    <mergeCell ref="K60:N60"/>
    <mergeCell ref="K45:L45"/>
    <mergeCell ref="L8:L9"/>
    <mergeCell ref="P21:P23"/>
    <mergeCell ref="B39:C39"/>
    <mergeCell ref="D58:I58"/>
    <mergeCell ref="D53:H53"/>
    <mergeCell ref="D54:H54"/>
    <mergeCell ref="D55:H55"/>
    <mergeCell ref="D56:H56"/>
    <mergeCell ref="D46:H46"/>
    <mergeCell ref="B17:C17"/>
    <mergeCell ref="D15:H15"/>
    <mergeCell ref="B9:D9"/>
    <mergeCell ref="D16:H16"/>
    <mergeCell ref="H9:J9"/>
    <mergeCell ref="D17:H17"/>
    <mergeCell ref="E9:F9"/>
    <mergeCell ref="D18:H18"/>
    <mergeCell ref="E22:G22"/>
    <mergeCell ref="D39:H39"/>
    <mergeCell ref="D20:I20"/>
    <mergeCell ref="D38:H38"/>
    <mergeCell ref="D33:H33"/>
    <mergeCell ref="D26:H26"/>
    <mergeCell ref="D19:H19"/>
    <mergeCell ref="D29:H29"/>
    <mergeCell ref="D30:H30"/>
    <mergeCell ref="D31:H31"/>
    <mergeCell ref="D32:H32"/>
    <mergeCell ref="D37:H37"/>
    <mergeCell ref="D24:I24"/>
    <mergeCell ref="AK25:AK28"/>
    <mergeCell ref="D67:I67"/>
    <mergeCell ref="D52:H52"/>
    <mergeCell ref="D50:H50"/>
    <mergeCell ref="D41:H41"/>
    <mergeCell ref="D42:I42"/>
    <mergeCell ref="D43:I43"/>
    <mergeCell ref="D64:H64"/>
    <mergeCell ref="D65:H65"/>
    <mergeCell ref="D62:H62"/>
    <mergeCell ref="D63:H63"/>
    <mergeCell ref="B44:I44"/>
    <mergeCell ref="D61:H61"/>
    <mergeCell ref="D49:H49"/>
    <mergeCell ref="D48:H48"/>
    <mergeCell ref="D47:H47"/>
    <mergeCell ref="AM25:AM28"/>
    <mergeCell ref="AN25:AN28"/>
    <mergeCell ref="O21:O23"/>
    <mergeCell ref="D40:H40"/>
    <mergeCell ref="D25:H25"/>
    <mergeCell ref="AG28:AJ28"/>
    <mergeCell ref="AD25:AD28"/>
    <mergeCell ref="AE25:AE28"/>
    <mergeCell ref="D35:H35"/>
    <mergeCell ref="D34:H34"/>
    <mergeCell ref="D36:H36"/>
    <mergeCell ref="K21:K23"/>
    <mergeCell ref="L21:L23"/>
    <mergeCell ref="K28:L28"/>
    <mergeCell ref="M21:M23"/>
    <mergeCell ref="N21:N23"/>
  </mergeCells>
  <conditionalFormatting sqref="E22:G22">
    <cfRule type="expression" dxfId="193" priority="47">
      <formula>$E$22="Input Vacancy Rate (%)"</formula>
    </cfRule>
  </conditionalFormatting>
  <conditionalFormatting sqref="K50:Q50">
    <cfRule type="expression" dxfId="192" priority="23">
      <formula>$D$50="None"</formula>
    </cfRule>
  </conditionalFormatting>
  <conditionalFormatting sqref="K49:Q49">
    <cfRule type="expression" dxfId="191" priority="25">
      <formula>$D$49="None"</formula>
    </cfRule>
  </conditionalFormatting>
  <conditionalFormatting sqref="K48:Q48">
    <cfRule type="expression" dxfId="190" priority="26">
      <formula>$D$48="None"</formula>
    </cfRule>
  </conditionalFormatting>
  <conditionalFormatting sqref="K47:Q47">
    <cfRule type="expression" dxfId="189" priority="27">
      <formula>$D$47="None"</formula>
    </cfRule>
  </conditionalFormatting>
  <conditionalFormatting sqref="K46:Q46">
    <cfRule type="expression" dxfId="188" priority="28">
      <formula>$D46="None"</formula>
    </cfRule>
  </conditionalFormatting>
  <conditionalFormatting sqref="K51">
    <cfRule type="expression" dxfId="187" priority="10">
      <formula>$K$51="Input Debt Service for Other Permanent Loans or Tribal Funding"</formula>
    </cfRule>
  </conditionalFormatting>
  <conditionalFormatting sqref="D46:H50 D52:H56 D61:H65">
    <cfRule type="expression" dxfId="186" priority="9">
      <formula>$D46="None"</formula>
    </cfRule>
  </conditionalFormatting>
  <conditionalFormatting sqref="K60">
    <cfRule type="expression" dxfId="185" priority="1427">
      <formula>$K$60="Input Debt Service for Cash Flow Permanent Loans or Tribal Funding"</formula>
    </cfRule>
  </conditionalFormatting>
  <conditionalFormatting sqref="K4 D6:P6">
    <cfRule type="expression" dxfId="184" priority="1488">
      <formula>$K$4="Input the project name and AHP Project Number at the top of the 'Instructions' tab."</formula>
    </cfRule>
  </conditionalFormatting>
  <dataValidations count="8">
    <dataValidation type="decimal" allowBlank="1" showInputMessage="1" showErrorMessage="1" error="Value must be numeric and cannot exceed two decimals._x000a__x000a_If you are using a formula to populate the cells, ensure that the round function is used so that the equation does not result in a value that is more than two decimals." sqref="K27:R27">
      <formula1>0</formula1>
      <formula2>99999999999.99</formula2>
    </dataValidation>
    <dataValidation type="custom" allowBlank="1" showInputMessage="1" showErrorMessage="1" sqref="B8:J8 L8:L9 S9 O8:R8 G9:H9 B9 E9 M9:P9">
      <formula1>"&lt;0&gt;0"</formula1>
    </dataValidation>
    <dataValidation type="decimal" allowBlank="1" showInputMessage="1" showErrorMessage="1" error="A numeric value is required." sqref="K16:R16 K26:R26 K29:R34 K36:R38">
      <formula1>0</formula1>
      <formula2>9999999999999</formula2>
    </dataValidation>
    <dataValidation type="custom" allowBlank="1" showInputMessage="1" showErrorMessage="1" error="Data input is only permitted if a&quot;Permanent Loan&quot; with &quot;Other&quot; debt service with all a portion allocated for commercial has been indicated on the Sources Statement._x000a__x000a_Value must be numeric and contain only two decimals." prompt="Input only the annual debt service amount for the portion of the permanent loan that is for commercial space." sqref="K52:R56">
      <formula1>IF(AND($D52&lt;&gt;"None",$K$52:$Q$56=INT($K$52:$Q$56*100)/100),1,0)</formula1>
    </dataValidation>
    <dataValidation type="custom" showInputMessage="1" showErrorMessage="1" error="Possible Errors:_x000a__x000a_1. A description is required before a value can be input._x000a__x000a_2. Value must be numeric." prompt="A description is required before an amount can be input." sqref="K17:R19 K39:R41">
      <formula1>IF($T17&lt;&gt;1,K17=INT(K17*1E+30)/1E+30)</formula1>
    </dataValidation>
    <dataValidation type="custom" showInputMessage="1" showErrorMessage="1" error="A numeric value is required." sqref="H22">
      <formula1>H22=INT(H22*10000)/10000</formula1>
    </dataValidation>
    <dataValidation type="custom" allowBlank="1" showInputMessage="1" showErrorMessage="1" error="Data input is only permitted if a&quot;Permanent Loan&quot; with &quot;Other&quot; debt service has been indicated on the Sources Statement._x000a__x000a_Value must be numeric and contain only two decimals." prompt="Input only the annual debt service amount for the portion of the permanent loan that is for housing." sqref="R61:R65">
      <formula1>IF(AND($D61&lt;&gt;"None",$K$52:$Q$56=INT($K$52:$Q$56*100)/100),1,0)</formula1>
    </dataValidation>
    <dataValidation type="custom" allowBlank="1" showInputMessage="1" showErrorMessage="1" error="Data input is only permitted if a&quot;Permanent Loan&quot; with &quot;Cash Flow&quot; debt service has been indicated on the Sources Statement._x000a__x000a_Value must be numeric and contain only two decimals." prompt="Input only the annual debt service amount for the portion of the permanent loan that is for housing." sqref="K61:Q65">
      <formula1>IF(AND($D61&lt;&gt;"None",$K$52:$Q$56=INT($K$52:$Q$56*100)/100),1,0)</formula1>
    </dataValidation>
  </dataValidations>
  <hyperlinks>
    <hyperlink ref="H9" location="'B-Rent Schedule'!D13" display="'B-Rent Schedule'!D13"/>
    <hyperlink ref="O9" location="'F-TIV'!Q17" display="'F-TIV'!Q17"/>
    <hyperlink ref="G9" location="'A(2)-Uses Statement'!H12" display="'A(2)-Uses Statement'!H12"/>
    <hyperlink ref="P9" location="'Validation Warnings'!M9" display="'Validation Warnings'!M9"/>
    <hyperlink ref="K9" location="'C(1)-Rental Operating ProForma'!D13" display="'C(1)-Rental Operating ProForma'!D13"/>
    <hyperlink ref="N9" location="'E(2)-Sources &amp; Uses Analysis'!G19" display="Sources &amp; Uses Analysis"/>
    <hyperlink ref="E9:F9" location="'A(1)-Sources Stmt.'!D19" display="'A(1)-Sources Stmt.'!D19"/>
    <hyperlink ref="B9:D9" location="'Project Info and Instructions'!F16" display="Project Info. &amp; Instructions"/>
    <hyperlink ref="M9" location="'E-Feasibility Analysis'!M22" display="'E-Feasibility Analysis'!M22"/>
  </hyperlinks>
  <pageMargins left="0.25" right="0.25" top="0.75" bottom="0.75" header="0.5" footer="0.5"/>
  <pageSetup scale="64" orientation="portrait" r:id="rId1"/>
  <headerFooter alignWithMargins="0"/>
  <drawing r:id="rId2"/>
  <extLst>
    <ext xmlns:x14="http://schemas.microsoft.com/office/spreadsheetml/2009/9/main" uri="{78C0D931-6437-407d-A8EE-F0AAD7539E65}">
      <x14:conditionalFormattings>
        <x14:conditionalFormatting xmlns:xm="http://schemas.microsoft.com/office/excel/2006/main">
          <x14:cfRule type="expression" priority="1308" id="{5A9335A9-8ACE-4408-8ED2-41B6E4E9F28A}">
            <xm:f>'Project Info and Instructions'!$F$22="No"</xm:f>
            <x14:dxf>
              <font>
                <strike/>
                <color theme="0" tint="-0.34998626667073579"/>
              </font>
              <fill>
                <patternFill>
                  <bgColor theme="0" tint="-0.14996795556505021"/>
                </patternFill>
              </fill>
            </x14:dxf>
          </x14:cfRule>
          <x14:cfRule type="expression" priority="1309" id="{28A5B797-914D-4509-9998-4A26C91451A1}">
            <xm:f>'Project Info and Instructions'!$F$20="Owner-occupied"</xm:f>
            <x14:dxf>
              <font>
                <strike/>
                <color theme="0" tint="-0.34998626667073579"/>
              </font>
              <fill>
                <patternFill>
                  <bgColor theme="0" tint="-0.14996795556505021"/>
                </patternFill>
              </fill>
            </x14:dxf>
          </x14:cfRule>
          <xm:sqref>L8</xm:sqref>
        </x14:conditionalFormatting>
        <x14:conditionalFormatting xmlns:xm="http://schemas.microsoft.com/office/excel/2006/main">
          <x14:cfRule type="expression" priority="3" id="{B1179093-0FEF-4A48-B526-163369CD223D}">
            <xm:f>'Project Info and Instructions'!$F$20="Owner-occupied"</xm:f>
            <x14:dxf>
              <font>
                <strike/>
                <color theme="0" tint="-0.34998626667073579"/>
              </font>
              <fill>
                <patternFill>
                  <bgColor theme="0" tint="-0.14996795556505021"/>
                </patternFill>
              </fill>
            </x14:dxf>
          </x14:cfRule>
          <xm:sqref>L9</xm:sqref>
        </x14:conditionalFormatting>
        <x14:conditionalFormatting xmlns:xm="http://schemas.microsoft.com/office/excel/2006/main">
          <x14:cfRule type="expression" priority="1614" id="{5A5B2D23-280B-494D-B112-BBABA310FEF7}">
            <xm:f>'Project Info and Instructions'!$V$50&gt;6</xm:f>
            <x14:dxf>
              <font>
                <strike/>
                <color theme="0" tint="-0.34998626667073579"/>
              </font>
              <fill>
                <gradientFill degree="90">
                  <stop position="0">
                    <color theme="0" tint="-0.1490218817712943"/>
                  </stop>
                  <stop position="1">
                    <color theme="0" tint="-0.1490218817712943"/>
                  </stop>
                </gradientFill>
              </fill>
            </x14:dxf>
          </x14:cfRule>
          <xm:sqref>H9 K9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3A084F80B9B3B489959A58462C8CE8C" ma:contentTypeVersion="0" ma:contentTypeDescription="Create a new document." ma:contentTypeScope="" ma:versionID="4e6df88db945e282bb6d57339aef4927">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4EBA32EE-93DB-4DBC-87EE-9B76E77270ED}">
  <ds:schemaRefs>
    <ds:schemaRef ds:uri="http://schemas.microsoft.com/office/2006/documentManagement/types"/>
    <ds:schemaRef ds:uri="http://purl.org/dc/terms/"/>
    <ds:schemaRef ds:uri="http://purl.org/dc/elements/1.1/"/>
    <ds:schemaRef ds:uri="http://www.w3.org/XML/1998/namespace"/>
    <ds:schemaRef ds:uri="http://purl.org/dc/dcmitype/"/>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4F59B234-F72F-4EE6-9AD3-CE0ED3ED8E64}">
  <ds:schemaRefs>
    <ds:schemaRef ds:uri="http://schemas.microsoft.com/sharepoint/v3/contenttype/forms"/>
  </ds:schemaRefs>
</ds:datastoreItem>
</file>

<file path=customXml/itemProps3.xml><?xml version="1.0" encoding="utf-8"?>
<ds:datastoreItem xmlns:ds="http://schemas.openxmlformats.org/officeDocument/2006/customXml" ds:itemID="{9D308307-0DEE-4611-B0DD-DB3D46B7C3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76</vt:i4>
      </vt:variant>
    </vt:vector>
  </HeadingPairs>
  <TitlesOfParts>
    <vt:vector size="95" baseType="lpstr">
      <vt:lpstr>UDA Documentation</vt:lpstr>
      <vt:lpstr>Change Control</vt:lpstr>
      <vt:lpstr>Project Info and Instructions</vt:lpstr>
      <vt:lpstr>A(1)-Sources Stmt.</vt:lpstr>
      <vt:lpstr>A(2)-Uses Statement</vt:lpstr>
      <vt:lpstr>A(3)-Sources and Uses Summary</vt:lpstr>
      <vt:lpstr>B-Rent Schedule</vt:lpstr>
      <vt:lpstr>C(1)-Rental Operating ProForma</vt:lpstr>
      <vt:lpstr>C(2)-Commercial ProForma</vt:lpstr>
      <vt:lpstr>D-Owner-Occ Housing Expense</vt:lpstr>
      <vt:lpstr>E-Feasibility Analysis</vt:lpstr>
      <vt:lpstr>E(2)-Sources &amp; Uses Analysis</vt:lpstr>
      <vt:lpstr>G-Sponsor Provided Financing</vt:lpstr>
      <vt:lpstr>Validation Warnings Hidden</vt:lpstr>
      <vt:lpstr>F-TIV</vt:lpstr>
      <vt:lpstr>TIV - FHLB Use Only</vt:lpstr>
      <vt:lpstr>Validation Warnings</vt:lpstr>
      <vt:lpstr>RSMeans</vt:lpstr>
      <vt:lpstr>Income Limits</vt:lpstr>
      <vt:lpstr>'TIV - FHLB Use Only'!_PER1</vt:lpstr>
      <vt:lpstr>'TIV - FHLB Use Only'!_PER2</vt:lpstr>
      <vt:lpstr>'TIV - FHLB Use Only'!_PER3</vt:lpstr>
      <vt:lpstr>'TIV - FHLB Use Only'!_PER4</vt:lpstr>
      <vt:lpstr>'TIV - FHLB Use Only'!_PER5</vt:lpstr>
      <vt:lpstr>'TIV - FHLB Use Only'!_PER6</vt:lpstr>
      <vt:lpstr>'TIV - FHLB Use Only'!_PER7</vt:lpstr>
      <vt:lpstr>'TIV - FHLB Use Only'!_PER8</vt:lpstr>
      <vt:lpstr>'TIV - FHLB Use Only'!_VLI1</vt:lpstr>
      <vt:lpstr>'TIV - FHLB Use Only'!_VLI2</vt:lpstr>
      <vt:lpstr>'TIV - FHLB Use Only'!_VLI3</vt:lpstr>
      <vt:lpstr>'TIV - FHLB Use Only'!_VLI4</vt:lpstr>
      <vt:lpstr>'TIV - FHLB Use Only'!_VLI5</vt:lpstr>
      <vt:lpstr>'TIV - FHLB Use Only'!_VLI6</vt:lpstr>
      <vt:lpstr>'TIV - FHLB Use Only'!_VLI7</vt:lpstr>
      <vt:lpstr>'TIV - FHLB Use Only'!_VLI8</vt:lpstr>
      <vt:lpstr>Alaska_RS</vt:lpstr>
      <vt:lpstr>'Change Control'!County</vt:lpstr>
      <vt:lpstr>'UDA Documentation'!County</vt:lpstr>
      <vt:lpstr>County</vt:lpstr>
      <vt:lpstr>'Validation Warnings'!Criteria</vt:lpstr>
      <vt:lpstr>'Validation Warnings Hidden'!Criteria</vt:lpstr>
      <vt:lpstr>Guam_RS</vt:lpstr>
      <vt:lpstr>Hawaii_RS</vt:lpstr>
      <vt:lpstr>Idaho_RS</vt:lpstr>
      <vt:lpstr>Montana_RS</vt:lpstr>
      <vt:lpstr>No_State</vt:lpstr>
      <vt:lpstr>Oregon_RS</vt:lpstr>
      <vt:lpstr>'A(3)-Sources and Uses Summary'!Print_Area</vt:lpstr>
      <vt:lpstr>'D-Owner-Occ Housing Expense'!Print_Area</vt:lpstr>
      <vt:lpstr>'G-Sponsor Provided Financing'!Print_Area</vt:lpstr>
      <vt:lpstr>'TIV - FHLB Use Only'!Print_Area</vt:lpstr>
      <vt:lpstr>'Validation Warnings Hidden'!Print_Area</vt:lpstr>
      <vt:lpstr>'C(2)-Commercial ProForma'!Print_Area_CommProforma</vt:lpstr>
      <vt:lpstr>'E-Feasibility Analysis'!Print_Area_Feas</vt:lpstr>
      <vt:lpstr>'Project Info and Instructions'!Print_Area_Instructions</vt:lpstr>
      <vt:lpstr>'C(1)-Rental Operating ProForma'!Print_Area_RentalProForma</vt:lpstr>
      <vt:lpstr>'B-Rent Schedule'!Print_Area_RentSchedule</vt:lpstr>
      <vt:lpstr>'A(1)-Sources Stmt.'!Print_Area_Sources_Stmt</vt:lpstr>
      <vt:lpstr>'E(2)-Sources &amp; Uses Analysis'!Print_Area_SU</vt:lpstr>
      <vt:lpstr>'F-TIV'!Print_Area_TIV</vt:lpstr>
      <vt:lpstr>'A(2)-Uses Statement'!Print_Area_Uses</vt:lpstr>
      <vt:lpstr>'Validation Warnings'!Print_Area_Validation</vt:lpstr>
      <vt:lpstr>'A(3)-Sources and Uses Summary'!Print_Titles</vt:lpstr>
      <vt:lpstr>'D-Owner-Occ Housing Expense'!Print_Titles</vt:lpstr>
      <vt:lpstr>'G-Sponsor Provided Financing'!Print_Titles</vt:lpstr>
      <vt:lpstr>'TIV - FHLB Use Only'!Print_Titles</vt:lpstr>
      <vt:lpstr>'C(2)-Commercial ProForma'!Print_Titles_CommProForma</vt:lpstr>
      <vt:lpstr>'E-Feasibility Analysis'!Print_Titles_Feas</vt:lpstr>
      <vt:lpstr>'Project Info and Instructions'!Print_Titles_Instructions</vt:lpstr>
      <vt:lpstr>'C(1)-Rental Operating ProForma'!Print_Titles_RentalProForma</vt:lpstr>
      <vt:lpstr>'B-Rent Schedule'!Print_Titles_RentSched</vt:lpstr>
      <vt:lpstr>'A(1)-Sources Stmt.'!Print_Titles_Sources</vt:lpstr>
      <vt:lpstr>'F-TIV'!Print_Titles_TIV</vt:lpstr>
      <vt:lpstr>'A(2)-Uses Statement'!Print_Titles_Uses</vt:lpstr>
      <vt:lpstr>'Validation Warnings'!Print_Titles_Validation</vt:lpstr>
      <vt:lpstr>'TIV - FHLB Use Only'!RENT1</vt:lpstr>
      <vt:lpstr>'TIV - FHLB Use Only'!RENT2</vt:lpstr>
      <vt:lpstr>'TIV - FHLB Use Only'!RENT3</vt:lpstr>
      <vt:lpstr>'TIV - FHLB Use Only'!RENT4</vt:lpstr>
      <vt:lpstr>'TIV - FHLB Use Only'!RENT5</vt:lpstr>
      <vt:lpstr>'TIV - FHLB Use Only'!RENT6</vt:lpstr>
      <vt:lpstr>'TIV - FHLB Use Only'!RENT7</vt:lpstr>
      <vt:lpstr>'TIV - FHLB Use Only'!RENT8</vt:lpstr>
      <vt:lpstr>'TIV - FHLB Use Only'!RENTA1</vt:lpstr>
      <vt:lpstr>'TIV - FHLB Use Only'!RENTA2</vt:lpstr>
      <vt:lpstr>'TIV - FHLB Use Only'!RENTA3</vt:lpstr>
      <vt:lpstr>'TIV - FHLB Use Only'!RENTA4</vt:lpstr>
      <vt:lpstr>'TIV - FHLB Use Only'!RENTA5</vt:lpstr>
      <vt:lpstr>'TIV - FHLB Use Only'!RENTA6</vt:lpstr>
      <vt:lpstr>'TIV - FHLB Use Only'!RENTA7</vt:lpstr>
      <vt:lpstr>'TIV - FHLB Use Only'!RENTA8</vt:lpstr>
      <vt:lpstr>Select_State</vt:lpstr>
      <vt:lpstr>Utah_RS</vt:lpstr>
      <vt:lpstr>Washington_RS</vt:lpstr>
      <vt:lpstr>Wyoming_RS</vt:lpstr>
    </vt:vector>
  </TitlesOfParts>
  <Manager>DeAnnaP@fhlbsea.com</Manager>
  <Company>FHLB Seattle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AHP Application Workbook</dc:title>
  <dc:creator>craigh@fhlbsea.com</dc:creator>
  <cp:lastModifiedBy>rbloxham</cp:lastModifiedBy>
  <cp:lastPrinted>2016-06-20T23:17:48Z</cp:lastPrinted>
  <dcterms:created xsi:type="dcterms:W3CDTF">2001-08-07T21:30:48Z</dcterms:created>
  <dcterms:modified xsi:type="dcterms:W3CDTF">2018-01-08T20:29:09Z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0x01010043A084F80B9B3B489959A58462C8CE8C</vt:lpwstr>
  </property>
  <property fmtid="{D5CDD505-2E9C-101B-9397-08002B2CF9AE}" pid="3" name="{A44787D4-0540-4523-9961-78E4036D8C6D}">
    <vt:lpwstr>{54CC57FC-0C32-4801-B930-E0F704F2C32B}</vt:lpwstr>
  </property>
  <property fmtid="{D5CDD505-2E9C-101B-9397-08002B2CF9AE}" pid="4" name="Risk ObjectId">
    <vt:lpwstr>702</vt:lpwstr>
  </property>
  <property fmtid="{D5CDD505-2E9C-101B-9397-08002B2CF9AE}" pid="5" name="Certified From">
    <vt:lpwstr>XLAudit</vt:lpwstr>
  </property>
  <property fmtid="{D5CDD505-2E9C-101B-9397-08002B2CF9AE}" pid="6" name="Certified by">
    <vt:lpwstr>chorton</vt:lpwstr>
  </property>
  <property fmtid="{D5CDD505-2E9C-101B-9397-08002B2CF9AE}" pid="7" name="Certified on">
    <vt:lpwstr>10/25/2017 2:16:30 PM</vt:lpwstr>
  </property>
  <property fmtid="{D5CDD505-2E9C-101B-9397-08002B2CF9AE}" pid="8" name="TTL Period">
    <vt:lpwstr>3650</vt:lpwstr>
  </property>
  <property fmtid="{D5CDD505-2E9C-101B-9397-08002B2CF9AE}" pid="9" name="Zero Client">
    <vt:lpwstr>Yes</vt:lpwstr>
  </property>
  <property fmtid="{D5CDD505-2E9C-101B-9397-08002B2CF9AE}" pid="10" name="BaseFileName">
    <vt:lpwstr>Rental Disbursement Workbook_Final.xlsx</vt:lpwstr>
  </property>
  <property fmtid="{D5CDD505-2E9C-101B-9397-08002B2CF9AE}" pid="11" name="BaseFilePath">
    <vt:lpwstr>\\fhlbdm.com\data2\FHLBUDA\Community Investment\I DRIVE FHLBUDA\UDAs\Production\25019_Rental Disbursement Workbook</vt:lpwstr>
  </property>
</Properties>
</file>